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599" activeTab="11"/>
  </bookViews>
  <sheets>
    <sheet name="Jan18" sheetId="1" r:id="rId1"/>
    <sheet name="Feb18" sheetId="2" r:id="rId2"/>
    <sheet name="Mar 18" sheetId="3" r:id="rId3"/>
    <sheet name="Apr 18" sheetId="4" r:id="rId4"/>
    <sheet name="May 18" sheetId="5" r:id="rId5"/>
    <sheet name="June 18" sheetId="6" r:id="rId6"/>
    <sheet name="July 18" sheetId="7" r:id="rId7"/>
    <sheet name="Aug 18" sheetId="8" r:id="rId8"/>
    <sheet name="Sep 18" sheetId="9" r:id="rId9"/>
    <sheet name="Oct 18" sheetId="10" r:id="rId10"/>
    <sheet name="Nov 18" sheetId="11" r:id="rId11"/>
    <sheet name="Dec 18" sheetId="12" r:id="rId12"/>
    <sheet name="cc" sheetId="13" r:id="rId13"/>
    <sheet name="salaries" sheetId="14" r:id="rId14"/>
    <sheet name="Savings" sheetId="15" r:id="rId15"/>
    <sheet name="Home" sheetId="16" r:id="rId16"/>
    <sheet name="VALIC" sheetId="17" r:id="rId17"/>
    <sheet name="KW" sheetId="18" r:id="rId18"/>
  </sheets>
  <definedNames/>
  <calcPr fullCalcOnLoad="1"/>
</workbook>
</file>

<file path=xl/sharedStrings.xml><?xml version="1.0" encoding="utf-8"?>
<sst xmlns="http://schemas.openxmlformats.org/spreadsheetml/2006/main" count="1005" uniqueCount="404">
  <si>
    <t>DEPOSITS</t>
  </si>
  <si>
    <t>Deposit</t>
  </si>
  <si>
    <t>Bal Forward</t>
  </si>
  <si>
    <t>To Balance</t>
  </si>
  <si>
    <t>Bill/VRS</t>
  </si>
  <si>
    <t>House</t>
  </si>
  <si>
    <t>auto</t>
  </si>
  <si>
    <t>Assurant due Jan 11</t>
  </si>
  <si>
    <t>pd</t>
  </si>
  <si>
    <t>Bill/SS</t>
  </si>
  <si>
    <t>Verizon Wireless</t>
  </si>
  <si>
    <t>Amer tob</t>
  </si>
  <si>
    <t>Insurance</t>
  </si>
  <si>
    <t>Anne/SS</t>
  </si>
  <si>
    <t>BP1</t>
  </si>
  <si>
    <t>Rapp Power</t>
  </si>
  <si>
    <t>Anne/VRS</t>
  </si>
  <si>
    <t>Water</t>
  </si>
  <si>
    <t>Cty/Dec</t>
  </si>
  <si>
    <t>HFC VISA</t>
  </si>
  <si>
    <t>Total</t>
  </si>
  <si>
    <t>Kohls</t>
  </si>
  <si>
    <t>acct</t>
  </si>
  <si>
    <t>2 00015000 0001750</t>
  </si>
  <si>
    <t>JCP</t>
  </si>
  <si>
    <t>deposit</t>
  </si>
  <si>
    <t>anneandtravel</t>
  </si>
  <si>
    <t>DU</t>
  </si>
  <si>
    <t>HUMANA</t>
  </si>
  <si>
    <t>wfwatw@gmail.com</t>
  </si>
  <si>
    <t>Am Express</t>
  </si>
  <si>
    <t>PW  Anne7280</t>
  </si>
  <si>
    <t>VISA/Marriott</t>
  </si>
  <si>
    <t>CAP ONE MC</t>
  </si>
  <si>
    <t>Car</t>
  </si>
  <si>
    <t>Anthem</t>
  </si>
  <si>
    <t>Dues for Masonic Lodges</t>
  </si>
  <si>
    <t>St Stephens</t>
  </si>
  <si>
    <t>Debit Card</t>
  </si>
  <si>
    <t xml:space="preserve">  </t>
  </si>
  <si>
    <t>PAY BP</t>
  </si>
  <si>
    <t>Debit</t>
  </si>
  <si>
    <t>500tosavings</t>
  </si>
  <si>
    <t>County</t>
  </si>
  <si>
    <t>VALIC</t>
  </si>
  <si>
    <t>Plexus</t>
  </si>
  <si>
    <t>Tax refund</t>
  </si>
  <si>
    <t>QVC</t>
  </si>
  <si>
    <t>Dol Gen</t>
  </si>
  <si>
    <t>State Taxes</t>
  </si>
  <si>
    <t>Bill</t>
  </si>
  <si>
    <t>Anne</t>
  </si>
  <si>
    <t>Drug Plan</t>
  </si>
  <si>
    <t>Hosp</t>
  </si>
  <si>
    <t>Medicare</t>
  </si>
  <si>
    <t>AX</t>
  </si>
  <si>
    <t>Matress</t>
  </si>
  <si>
    <t>FF Inn</t>
  </si>
  <si>
    <t>CS</t>
  </si>
  <si>
    <t>Ins</t>
  </si>
  <si>
    <t>PAY BETHPAGE APRIL 10</t>
  </si>
  <si>
    <t>BP2</t>
  </si>
  <si>
    <t>Kennington Due 15th</t>
  </si>
  <si>
    <t>2 00015000 00017</t>
  </si>
  <si>
    <t>savings</t>
  </si>
  <si>
    <t>TD4U</t>
  </si>
  <si>
    <t>DEBIT</t>
  </si>
  <si>
    <t>Dol Tree</t>
  </si>
  <si>
    <t>License renewal Explorer May 31</t>
  </si>
  <si>
    <t>taxes</t>
  </si>
  <si>
    <t>Debit card</t>
  </si>
  <si>
    <t>Cty</t>
  </si>
  <si>
    <t>RV Adv</t>
  </si>
  <si>
    <t>Savings</t>
  </si>
  <si>
    <t>DirecTV</t>
  </si>
  <si>
    <t>License renewal Ford Edge due 7/31</t>
  </si>
  <si>
    <t>PAY BETHPAGE JULY 10</t>
  </si>
  <si>
    <t>BP3</t>
  </si>
  <si>
    <t>Northern Neck Ins Co Umbrella policy</t>
  </si>
  <si>
    <t>pd/MC</t>
  </si>
  <si>
    <t>www.nnins.com</t>
  </si>
  <si>
    <t>Bethpage elec</t>
  </si>
  <si>
    <t>debit</t>
  </si>
  <si>
    <t>10..93</t>
  </si>
  <si>
    <t>CapOne</t>
  </si>
  <si>
    <t>Gas</t>
  </si>
  <si>
    <t>Verizon</t>
  </si>
  <si>
    <t>DTV</t>
  </si>
  <si>
    <t>water</t>
  </si>
  <si>
    <t xml:space="preserve">AX = </t>
  </si>
  <si>
    <t>Stonebridge Insurance pmts</t>
  </si>
  <si>
    <t>mo</t>
  </si>
  <si>
    <t>American Reliable Ins</t>
  </si>
  <si>
    <t>DEBIT CARD</t>
  </si>
  <si>
    <t>October</t>
  </si>
  <si>
    <t>to saving-500</t>
  </si>
  <si>
    <t>due 10/15</t>
  </si>
  <si>
    <t>Pac Life</t>
  </si>
  <si>
    <t>debit card</t>
  </si>
  <si>
    <t>Assurant due Nov 2</t>
  </si>
  <si>
    <t>POL SPE24647711</t>
  </si>
  <si>
    <t>(4pmts)</t>
  </si>
  <si>
    <t>Agent</t>
  </si>
  <si>
    <t>www.MyARICPolicy.com</t>
  </si>
  <si>
    <t>Month</t>
  </si>
  <si>
    <t>CHASE</t>
  </si>
  <si>
    <t>KW PP due Dec 8</t>
  </si>
  <si>
    <t>Middlesex</t>
  </si>
  <si>
    <t>Christmas</t>
  </si>
  <si>
    <t>HFCU Visa</t>
  </si>
  <si>
    <t>Sams Club due Dec 18</t>
  </si>
  <si>
    <t>PPTAX</t>
  </si>
  <si>
    <t>PMT</t>
  </si>
  <si>
    <t>Chg</t>
  </si>
  <si>
    <t>CAPONE</t>
  </si>
  <si>
    <t>CHASE VISA</t>
  </si>
  <si>
    <t>charges</t>
  </si>
  <si>
    <t>pmts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</si>
  <si>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</si>
  <si>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</si>
  <si>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</si>
  <si>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</si>
  <si>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</si>
  <si>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</si>
  <si>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</si>
  <si>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</si>
  <si>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</si>
  <si>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gas</t>
  </si>
  <si>
    <t>Apr</t>
  </si>
  <si>
    <t>May</t>
  </si>
  <si>
    <t>Jun</t>
  </si>
  <si>
    <t>bal</t>
  </si>
  <si>
    <t>CUVISA</t>
  </si>
  <si>
    <t>golf cart</t>
  </si>
  <si>
    <t>Salaries</t>
  </si>
  <si>
    <t>NET</t>
  </si>
  <si>
    <t>to saving-400</t>
  </si>
  <si>
    <t>avg</t>
  </si>
  <si>
    <t>GROSS</t>
  </si>
  <si>
    <t>2015 VRS</t>
  </si>
  <si>
    <t>medicare</t>
  </si>
  <si>
    <t>Anne ss</t>
  </si>
  <si>
    <t>CR</t>
  </si>
  <si>
    <t xml:space="preserve"> nbl;'</t>
  </si>
  <si>
    <t>MONTHLY GROSS</t>
  </si>
  <si>
    <t>Annual</t>
  </si>
  <si>
    <t>SAVINGS</t>
  </si>
  <si>
    <t>dep</t>
  </si>
  <si>
    <t>withdrawal</t>
  </si>
  <si>
    <t>hp</t>
  </si>
  <si>
    <t>3.875pct</t>
  </si>
  <si>
    <t>new pmt</t>
  </si>
  <si>
    <t xml:space="preserve"> BP</t>
  </si>
  <si>
    <t>escrow</t>
  </si>
  <si>
    <t>June</t>
  </si>
  <si>
    <t>July</t>
  </si>
  <si>
    <t>loan</t>
  </si>
  <si>
    <t>Dif</t>
  </si>
  <si>
    <t>PAYOFF</t>
  </si>
  <si>
    <t>pmt</t>
  </si>
  <si>
    <t>VISA</t>
  </si>
  <si>
    <t>Truck</t>
  </si>
  <si>
    <t>Dentist</t>
  </si>
  <si>
    <t>PAC Life</t>
  </si>
  <si>
    <t>minus</t>
  </si>
  <si>
    <t>continued from checkbook 2012</t>
  </si>
  <si>
    <t>DATE</t>
  </si>
  <si>
    <t>P Life</t>
  </si>
  <si>
    <t>CapOne July-Aug10</t>
  </si>
  <si>
    <t>PAC LIFE</t>
  </si>
  <si>
    <t>PMTS</t>
  </si>
  <si>
    <t>Loan</t>
  </si>
  <si>
    <t>Walmart</t>
  </si>
  <si>
    <t xml:space="preserve">annual </t>
  </si>
  <si>
    <t>annual</t>
  </si>
  <si>
    <t>RVAdv</t>
  </si>
  <si>
    <t>pd1/21</t>
  </si>
  <si>
    <t>Pres+HOA</t>
  </si>
  <si>
    <t>BP1+gas</t>
  </si>
  <si>
    <t>400htl-gas</t>
  </si>
  <si>
    <t>Chase</t>
  </si>
  <si>
    <t>tires</t>
  </si>
  <si>
    <t>BP3+gas</t>
  </si>
  <si>
    <t>Valic</t>
  </si>
  <si>
    <t>Cruise</t>
  </si>
  <si>
    <t>credit</t>
  </si>
  <si>
    <t>MC</t>
  </si>
  <si>
    <t>cruise</t>
  </si>
  <si>
    <t>Golf cart</t>
  </si>
  <si>
    <t>pd1/8</t>
  </si>
  <si>
    <t>pd1/13</t>
  </si>
  <si>
    <t>pd1/6</t>
  </si>
  <si>
    <t>pd2/22</t>
  </si>
  <si>
    <t>cash/vacation</t>
  </si>
  <si>
    <t>Walgreens</t>
  </si>
  <si>
    <t>Hobby Lob</t>
  </si>
  <si>
    <t>USPS</t>
  </si>
  <si>
    <t xml:space="preserve">routing </t>
  </si>
  <si>
    <t>Go Fundme</t>
  </si>
  <si>
    <t>Aldi</t>
  </si>
  <si>
    <t>SS</t>
  </si>
  <si>
    <t>ck</t>
  </si>
  <si>
    <t>NextStep Ch</t>
  </si>
  <si>
    <t>Savings/BP1</t>
  </si>
  <si>
    <t>(donation)</t>
  </si>
  <si>
    <t>SugarShak</t>
  </si>
  <si>
    <t>Kennington</t>
  </si>
  <si>
    <t>pd1/19</t>
  </si>
  <si>
    <t>pd1/25</t>
  </si>
  <si>
    <t>FLORIDA TRIP</t>
  </si>
  <si>
    <t>Lunch</t>
  </si>
  <si>
    <t>Dinner</t>
  </si>
  <si>
    <t>meal</t>
  </si>
  <si>
    <t>breakfast</t>
  </si>
  <si>
    <t>free</t>
  </si>
  <si>
    <t>Hotel/2nts + parking</t>
  </si>
  <si>
    <t>pd2/6</t>
  </si>
  <si>
    <t>vaycay</t>
  </si>
  <si>
    <t>Breakfast</t>
  </si>
  <si>
    <t>Hotel/pts</t>
  </si>
  <si>
    <t>Hotel/SC</t>
  </si>
  <si>
    <t xml:space="preserve">to balance </t>
  </si>
  <si>
    <t>Balance</t>
  </si>
  <si>
    <t>Courtyard/Parking</t>
  </si>
  <si>
    <t>Transfers</t>
  </si>
  <si>
    <t>AX per ends</t>
  </si>
  <si>
    <t>PP Grat</t>
  </si>
  <si>
    <t>Drink Pkg</t>
  </si>
  <si>
    <t>3 nts Pts/Doubletree</t>
  </si>
  <si>
    <t>1 nt Pts Courtyard</t>
  </si>
  <si>
    <t>pd2/14</t>
  </si>
  <si>
    <t xml:space="preserve">pd2/1 </t>
  </si>
  <si>
    <t>pd2/10</t>
  </si>
  <si>
    <t>pd2/25</t>
  </si>
  <si>
    <t>pd3/21</t>
  </si>
  <si>
    <t>Td4U</t>
  </si>
  <si>
    <t>ENT</t>
  </si>
  <si>
    <t>pd2/11</t>
  </si>
  <si>
    <t>pd2/21</t>
  </si>
  <si>
    <t>pd3/12</t>
  </si>
  <si>
    <t>Cassidy</t>
  </si>
  <si>
    <t>VISA/Bank</t>
  </si>
  <si>
    <t>Hobby Lobby</t>
  </si>
  <si>
    <t>pd3/10</t>
  </si>
  <si>
    <t>Katie</t>
  </si>
  <si>
    <t>BP2/golf cart</t>
  </si>
  <si>
    <t>BP2/gas</t>
  </si>
  <si>
    <t>savings/Katie</t>
  </si>
  <si>
    <t>Sip Stencil</t>
  </si>
  <si>
    <t>April</t>
  </si>
  <si>
    <t>August</t>
  </si>
  <si>
    <t>pd3/14</t>
  </si>
  <si>
    <t>Fam Dol</t>
  </si>
  <si>
    <t>pd4/25</t>
  </si>
  <si>
    <t>pd3/6</t>
  </si>
  <si>
    <t>pd3/25</t>
  </si>
  <si>
    <t>state taxes</t>
  </si>
  <si>
    <t>Assurant due 3/22</t>
  </si>
  <si>
    <t>Bea/flowers</t>
  </si>
  <si>
    <t>Ck</t>
  </si>
  <si>
    <t>pd4/9</t>
  </si>
  <si>
    <t>routing #/CU</t>
  </si>
  <si>
    <t>AdvanceAuto</t>
  </si>
  <si>
    <t>pd3/16</t>
  </si>
  <si>
    <t>st taxes/VISA</t>
  </si>
  <si>
    <t>pd4/13</t>
  </si>
  <si>
    <t>Pac Life-withdrew</t>
  </si>
  <si>
    <t>Harbor Ft</t>
  </si>
  <si>
    <t>SomeDif</t>
  </si>
  <si>
    <t>DolTree</t>
  </si>
  <si>
    <t>HobbyLob</t>
  </si>
  <si>
    <t>pd4/6</t>
  </si>
  <si>
    <t>bp2</t>
  </si>
  <si>
    <t>DolGen</t>
  </si>
  <si>
    <t>McD</t>
  </si>
  <si>
    <t>BP</t>
  </si>
  <si>
    <t>pd4/10</t>
  </si>
  <si>
    <t>pd5/25</t>
  </si>
  <si>
    <t>PacificLife</t>
  </si>
  <si>
    <t>Lidl</t>
  </si>
  <si>
    <t>Hardees</t>
  </si>
  <si>
    <t>360Hard</t>
  </si>
  <si>
    <t>Sstates</t>
  </si>
  <si>
    <t>Roof</t>
  </si>
  <si>
    <t>BP2/roof</t>
  </si>
  <si>
    <t>DeepRoots</t>
  </si>
  <si>
    <t>pd5/7</t>
  </si>
  <si>
    <t>pd4/20</t>
  </si>
  <si>
    <t>pd4/21</t>
  </si>
  <si>
    <t>pd6/21</t>
  </si>
  <si>
    <t>BK</t>
  </si>
  <si>
    <t>Zulilly</t>
  </si>
  <si>
    <t>CATO</t>
  </si>
  <si>
    <t>pd5/6</t>
  </si>
  <si>
    <t>pd5/10</t>
  </si>
  <si>
    <t>pd5/14</t>
  </si>
  <si>
    <t>500savings5/16</t>
  </si>
  <si>
    <t>Billy</t>
  </si>
  <si>
    <t>SS Increase July 2018</t>
  </si>
  <si>
    <t>INCR</t>
  </si>
  <si>
    <t>Carwash</t>
  </si>
  <si>
    <t>Heart Assn</t>
  </si>
  <si>
    <t>pd5/16</t>
  </si>
  <si>
    <t>pd5/22</t>
  </si>
  <si>
    <t>Jan-Apri</t>
  </si>
  <si>
    <t>not posted</t>
  </si>
  <si>
    <t>FamDol</t>
  </si>
  <si>
    <t>AmerRel</t>
  </si>
  <si>
    <t>pd6/10</t>
  </si>
  <si>
    <t>Arbys</t>
  </si>
  <si>
    <t>pd6/22</t>
  </si>
  <si>
    <t>#1254777</t>
  </si>
  <si>
    <t>pd6/4 phone</t>
  </si>
  <si>
    <t>iTunes</t>
  </si>
  <si>
    <t>UrbMkt</t>
  </si>
  <si>
    <t>Zulily</t>
  </si>
  <si>
    <t>pd6/25</t>
  </si>
  <si>
    <t>pd6/13</t>
  </si>
  <si>
    <t>pd6/6</t>
  </si>
  <si>
    <t>Ollies</t>
  </si>
  <si>
    <t>pd6/19</t>
  </si>
  <si>
    <t>500Savings/6/21</t>
  </si>
  <si>
    <t>towing</t>
  </si>
  <si>
    <t>Disney</t>
  </si>
  <si>
    <t>Aruba</t>
  </si>
  <si>
    <t>Sep</t>
  </si>
  <si>
    <t>500savings</t>
  </si>
  <si>
    <t>Tommys</t>
  </si>
  <si>
    <t>Kroger</t>
  </si>
  <si>
    <t>pd7/6</t>
  </si>
  <si>
    <t>pd7/10</t>
  </si>
  <si>
    <t>AMTRAK TKTS</t>
  </si>
  <si>
    <t>pd7/13</t>
  </si>
  <si>
    <t>feller/colema/smith</t>
  </si>
  <si>
    <t>Lafon/Lowell</t>
  </si>
  <si>
    <t>Hotel</t>
  </si>
  <si>
    <t>NYC</t>
  </si>
  <si>
    <t>pd7/2</t>
  </si>
  <si>
    <t>SS Inc</t>
  </si>
  <si>
    <t>Pac life</t>
  </si>
  <si>
    <t>roof</t>
  </si>
  <si>
    <t>FoodLion</t>
  </si>
  <si>
    <t>SS inc</t>
  </si>
  <si>
    <t>pd7/20</t>
  </si>
  <si>
    <t>Explorer</t>
  </si>
  <si>
    <t>pd7/11</t>
  </si>
  <si>
    <t>refi</t>
  </si>
  <si>
    <t>1000+300pmt</t>
  </si>
  <si>
    <t>pd7/25</t>
  </si>
  <si>
    <t>Peebles</t>
  </si>
  <si>
    <t>pd8/3</t>
  </si>
  <si>
    <t>AVG</t>
  </si>
  <si>
    <t>Carmax</t>
  </si>
  <si>
    <t>pd7/25/18</t>
  </si>
  <si>
    <t>Readers</t>
  </si>
  <si>
    <t>WaWa</t>
  </si>
  <si>
    <t>due 8/18</t>
  </si>
  <si>
    <t>pd8/13</t>
  </si>
  <si>
    <t>Dr Munn</t>
  </si>
  <si>
    <t>SomDIf</t>
  </si>
  <si>
    <t>BP3/TD/DU/refund</t>
  </si>
  <si>
    <t>cxl</t>
  </si>
  <si>
    <t>pd8/1</t>
  </si>
  <si>
    <t>WALTER  Due 7/15</t>
  </si>
  <si>
    <t>WALTER  Due 10/15</t>
  </si>
  <si>
    <t>WALTER  Due 1/15</t>
  </si>
  <si>
    <t>pd8/2</t>
  </si>
  <si>
    <t>pd8/10</t>
  </si>
  <si>
    <t>BP Sales</t>
  </si>
  <si>
    <t>golfcart bat</t>
  </si>
  <si>
    <t>BPSales</t>
  </si>
  <si>
    <t>cu</t>
  </si>
  <si>
    <t>….</t>
  </si>
  <si>
    <t>pd8/21</t>
  </si>
  <si>
    <t>NN Ins/ubrella</t>
  </si>
  <si>
    <t>pd8/15/18</t>
  </si>
  <si>
    <t>Pol # PUP 0101413 06</t>
  </si>
  <si>
    <t>pd8/17</t>
  </si>
  <si>
    <t>Watts</t>
  </si>
  <si>
    <t>pd8/25</t>
  </si>
  <si>
    <t>in full</t>
  </si>
  <si>
    <t>pd9/10</t>
  </si>
  <si>
    <t>pd9/13</t>
  </si>
  <si>
    <t>UVA CU</t>
  </si>
  <si>
    <t>NN Ins</t>
  </si>
  <si>
    <t>pd9/4</t>
  </si>
  <si>
    <t>skip</t>
  </si>
  <si>
    <t>withdrew for Explorer</t>
  </si>
  <si>
    <t>572/9/13</t>
  </si>
  <si>
    <t>Applebees</t>
  </si>
  <si>
    <t>due10/3</t>
  </si>
  <si>
    <t>Amtrak</t>
  </si>
  <si>
    <t>ME</t>
  </si>
  <si>
    <t>155@/4</t>
  </si>
  <si>
    <t>NYV Dec</t>
  </si>
  <si>
    <t>pd9/21</t>
  </si>
  <si>
    <t>pd9/18</t>
  </si>
  <si>
    <t>BP,Ins</t>
  </si>
  <si>
    <t>Something DIF</t>
  </si>
  <si>
    <t>due 10/10</t>
  </si>
  <si>
    <t>tkts</t>
  </si>
  <si>
    <t>1395+1500</t>
  </si>
  <si>
    <t>due 10/18</t>
  </si>
  <si>
    <t>inc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</si>
</sst>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/d;@"/>
    <numFmt numFmtId="169" formatCode="m/d/yy;@"/>
    <numFmt numFmtId="170" formatCode="[$-409]mmmm\ d\,\ yyyy;@"/>
    <numFmt numFmtId="171" formatCode="0_);\(0\)"/>
    <numFmt numFmtId="172" formatCode="mm/dd/yy;@"/>
    <numFmt numFmtId="173" formatCode="[$-409]d\-mmm;@"/>
    <numFmt numFmtId="174" formatCode="0.000"/>
    <numFmt numFmtId="175" formatCode="[$-409]dddd\,\ mmmm\ d\,\ yyyy"/>
    <numFmt numFmtId="176" formatCode="_(* #,##0.000_);_(* \(#,##0.000\);_(* &quot;-&quot;???_);_(@_)"/>
    <numFmt numFmtId="177" formatCode="_(* #,##0.0000_);_(* \(#,##0.0000\);_(* &quot;-&quot;????_);_(@_)"/>
    <numFmt numFmtId="178" formatCode="[$-409]d\-mmm\-yy;@"/>
  </numFmts>
  <fonts count="9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10"/>
      <name val="Arial Rounded MT Bold"/>
      <family val="2"/>
    </font>
    <font>
      <b/>
      <sz val="10"/>
      <name val="Arial Black"/>
      <family val="2"/>
    </font>
    <font>
      <i/>
      <u val="single"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6"/>
      <name val="Aharoni"/>
      <family val="2"/>
    </font>
    <font>
      <b/>
      <i/>
      <sz val="9"/>
      <name val="Aharoni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0"/>
      <color indexed="10"/>
      <name val="Arial"/>
      <family val="2"/>
    </font>
    <font>
      <sz val="10"/>
      <name val="Arial Rounded MT Bold"/>
      <family val="2"/>
    </font>
    <font>
      <b/>
      <sz val="14"/>
      <name val="Aharoni"/>
      <family val="2"/>
    </font>
    <font>
      <sz val="12"/>
      <color indexed="53"/>
      <name val="Arial"/>
      <family val="2"/>
    </font>
    <font>
      <b/>
      <sz val="10"/>
      <name val="Aharoni"/>
      <family val="2"/>
    </font>
    <font>
      <sz val="12"/>
      <name val="Arial Rounded MT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52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9"/>
      <color indexed="10"/>
      <name val="Arial"/>
      <family val="2"/>
    </font>
    <font>
      <b/>
      <sz val="9"/>
      <color indexed="10"/>
      <name val="Arial Black"/>
      <family val="2"/>
    </font>
    <font>
      <sz val="10"/>
      <name val="Calibri"/>
      <family val="2"/>
    </font>
    <font>
      <b/>
      <sz val="10"/>
      <color indexed="10"/>
      <name val="Arial Rounded MT Bold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6" tint="-0.24997000396251678"/>
      <name val="Arial"/>
      <family val="2"/>
    </font>
    <font>
      <b/>
      <sz val="14"/>
      <color theme="5"/>
      <name val="Arial"/>
      <family val="2"/>
    </font>
    <font>
      <sz val="14"/>
      <color rgb="FFFF0000"/>
      <name val="Arial"/>
      <family val="2"/>
    </font>
    <font>
      <b/>
      <sz val="10"/>
      <color theme="9" tint="0.39998000860214233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 Black"/>
      <family val="2"/>
    </font>
    <font>
      <sz val="12"/>
      <color rgb="FFFF0000"/>
      <name val="Arial Black"/>
      <family val="2"/>
    </font>
    <font>
      <sz val="9"/>
      <color rgb="FFFF0000"/>
      <name val="Arial"/>
      <family val="2"/>
    </font>
    <font>
      <b/>
      <sz val="9"/>
      <color rgb="FFFF0000"/>
      <name val="Arial Black"/>
      <family val="2"/>
    </font>
    <font>
      <b/>
      <sz val="10"/>
      <color rgb="FFFF0000"/>
      <name val="Arial Rounded MT Bold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13" fontId="2" fillId="0" borderId="0" xfId="42" applyNumberFormat="1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83" fillId="0" borderId="0" xfId="0" applyFont="1" applyAlignment="1">
      <alignment/>
    </xf>
    <xf numFmtId="43" fontId="83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14" fontId="3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43" fontId="3" fillId="33" borderId="0" xfId="42" applyFont="1" applyFill="1" applyAlignment="1">
      <alignment/>
    </xf>
    <xf numFmtId="43" fontId="3" fillId="33" borderId="0" xfId="0" applyNumberFormat="1" applyFont="1" applyFill="1" applyAlignment="1">
      <alignment/>
    </xf>
    <xf numFmtId="168" fontId="3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6" fontId="0" fillId="0" borderId="0" xfId="0" applyNumberFormat="1" applyAlignment="1">
      <alignment/>
    </xf>
    <xf numFmtId="43" fontId="0" fillId="0" borderId="0" xfId="42" applyFont="1" applyAlignment="1">
      <alignment/>
    </xf>
    <xf numFmtId="9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43" fontId="0" fillId="34" borderId="0" xfId="42" applyFont="1" applyFill="1" applyAlignment="1">
      <alignment/>
    </xf>
    <xf numFmtId="43" fontId="0" fillId="0" borderId="0" xfId="42" applyFont="1" applyFill="1" applyAlignment="1">
      <alignment/>
    </xf>
    <xf numFmtId="10" fontId="84" fillId="0" borderId="0" xfId="42" applyNumberFormat="1" applyFont="1" applyAlignment="1">
      <alignment/>
    </xf>
    <xf numFmtId="0" fontId="0" fillId="0" borderId="0" xfId="0" applyFont="1" applyAlignment="1">
      <alignment/>
    </xf>
    <xf numFmtId="43" fontId="84" fillId="0" borderId="0" xfId="42" applyFont="1" applyAlignment="1">
      <alignment/>
    </xf>
    <xf numFmtId="0" fontId="5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13" borderId="10" xfId="0" applyFill="1" applyBorder="1" applyAlignment="1">
      <alignment/>
    </xf>
    <xf numFmtId="2" fontId="0" fillId="13" borderId="10" xfId="0" applyNumberFormat="1" applyFill="1" applyBorder="1" applyAlignment="1">
      <alignment/>
    </xf>
    <xf numFmtId="0" fontId="0" fillId="13" borderId="10" xfId="0" applyFont="1" applyFill="1" applyBorder="1" applyAlignment="1">
      <alignment/>
    </xf>
    <xf numFmtId="43" fontId="0" fillId="13" borderId="10" xfId="42" applyFont="1" applyFill="1" applyBorder="1" applyAlignment="1">
      <alignment/>
    </xf>
    <xf numFmtId="2" fontId="0" fillId="13" borderId="10" xfId="0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" fontId="3" fillId="2" borderId="10" xfId="0" applyNumberFormat="1" applyFont="1" applyFill="1" applyBorder="1" applyAlignment="1">
      <alignment/>
    </xf>
    <xf numFmtId="43" fontId="3" fillId="34" borderId="10" xfId="42" applyFont="1" applyFill="1" applyBorder="1" applyAlignment="1">
      <alignment/>
    </xf>
    <xf numFmtId="43" fontId="3" fillId="0" borderId="10" xfId="42" applyFont="1" applyBorder="1" applyAlignment="1">
      <alignment/>
    </xf>
    <xf numFmtId="0" fontId="6" fillId="0" borderId="0" xfId="0" applyFont="1" applyBorder="1" applyAlignment="1">
      <alignment/>
    </xf>
    <xf numFmtId="43" fontId="3" fillId="0" borderId="10" xfId="42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0" xfId="42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3" fillId="34" borderId="0" xfId="42" applyFont="1" applyFill="1" applyBorder="1" applyAlignment="1">
      <alignment/>
    </xf>
    <xf numFmtId="0" fontId="0" fillId="0" borderId="11" xfId="0" applyBorder="1" applyAlignment="1">
      <alignment/>
    </xf>
    <xf numFmtId="43" fontId="7" fillId="0" borderId="10" xfId="42" applyFont="1" applyFill="1" applyBorder="1" applyAlignment="1">
      <alignment horizontal="center"/>
    </xf>
    <xf numFmtId="0" fontId="7" fillId="0" borderId="10" xfId="0" applyFont="1" applyBorder="1" applyAlignment="1">
      <alignment/>
    </xf>
    <xf numFmtId="43" fontId="7" fillId="35" borderId="10" xfId="42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/>
    </xf>
    <xf numFmtId="43" fontId="7" fillId="0" borderId="10" xfId="42" applyFont="1" applyBorder="1" applyAlignment="1">
      <alignment horizontal="center"/>
    </xf>
    <xf numFmtId="2" fontId="3" fillId="35" borderId="10" xfId="0" applyNumberFormat="1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left"/>
    </xf>
    <xf numFmtId="43" fontId="2" fillId="0" borderId="0" xfId="42" applyFont="1" applyAlignment="1">
      <alignment horizontal="left"/>
    </xf>
    <xf numFmtId="16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0" fontId="10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11" fillId="0" borderId="10" xfId="42" applyFont="1" applyFill="1" applyBorder="1" applyAlignment="1">
      <alignment horizontal="left"/>
    </xf>
    <xf numFmtId="43" fontId="11" fillId="35" borderId="10" xfId="42" applyFont="1" applyFill="1" applyBorder="1" applyAlignment="1">
      <alignment horizontal="left"/>
    </xf>
    <xf numFmtId="43" fontId="11" fillId="0" borderId="10" xfId="42" applyFont="1" applyBorder="1" applyAlignment="1">
      <alignment horizontal="left"/>
    </xf>
    <xf numFmtId="0" fontId="12" fillId="0" borderId="10" xfId="0" applyFont="1" applyBorder="1" applyAlignment="1">
      <alignment/>
    </xf>
    <xf numFmtId="43" fontId="7" fillId="0" borderId="0" xfId="42" applyFont="1" applyAlignment="1">
      <alignment/>
    </xf>
    <xf numFmtId="43" fontId="11" fillId="36" borderId="10" xfId="42" applyFont="1" applyFill="1" applyBorder="1" applyAlignment="1">
      <alignment horizontal="left"/>
    </xf>
    <xf numFmtId="43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43" fontId="7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5" fontId="11" fillId="0" borderId="10" xfId="0" applyNumberFormat="1" applyFont="1" applyBorder="1" applyAlignment="1">
      <alignment/>
    </xf>
    <xf numFmtId="43" fontId="11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0" fontId="85" fillId="0" borderId="0" xfId="0" applyFont="1" applyAlignment="1">
      <alignment/>
    </xf>
    <xf numFmtId="0" fontId="0" fillId="0" borderId="0" xfId="0" applyFont="1" applyAlignment="1">
      <alignment horizontal="center"/>
    </xf>
    <xf numFmtId="43" fontId="16" fillId="0" borderId="0" xfId="42" applyFont="1" applyBorder="1" applyAlignment="1">
      <alignment/>
    </xf>
    <xf numFmtId="0" fontId="0" fillId="0" borderId="0" xfId="0" applyFont="1" applyAlignment="1">
      <alignment horizontal="left"/>
    </xf>
    <xf numFmtId="43" fontId="0" fillId="0" borderId="0" xfId="42" applyFont="1" applyAlignment="1">
      <alignment horizontal="left"/>
    </xf>
    <xf numFmtId="0" fontId="0" fillId="0" borderId="0" xfId="0" applyAlignment="1">
      <alignment horizontal="left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5" fillId="0" borderId="10" xfId="42" applyFont="1" applyBorder="1" applyAlignment="1">
      <alignment/>
    </xf>
    <xf numFmtId="43" fontId="2" fillId="0" borderId="10" xfId="42" applyFont="1" applyBorder="1" applyAlignment="1">
      <alignment horizontal="center"/>
    </xf>
    <xf numFmtId="43" fontId="3" fillId="34" borderId="0" xfId="42" applyFont="1" applyFill="1" applyAlignment="1">
      <alignment horizontal="left"/>
    </xf>
    <xf numFmtId="43" fontId="3" fillId="0" borderId="0" xfId="42" applyFont="1" applyAlignment="1">
      <alignment horizontal="center"/>
    </xf>
    <xf numFmtId="43" fontId="3" fillId="0" borderId="0" xfId="42" applyFont="1" applyAlignment="1">
      <alignment horizontal="left"/>
    </xf>
    <xf numFmtId="43" fontId="3" fillId="0" borderId="10" xfId="42" applyFont="1" applyBorder="1" applyAlignment="1">
      <alignment horizontal="left"/>
    </xf>
    <xf numFmtId="43" fontId="17" fillId="0" borderId="10" xfId="42" applyFont="1" applyBorder="1" applyAlignment="1">
      <alignment/>
    </xf>
    <xf numFmtId="16" fontId="0" fillId="0" borderId="10" xfId="0" applyNumberFormat="1" applyBorder="1" applyAlignment="1">
      <alignment/>
    </xf>
    <xf numFmtId="43" fontId="83" fillId="0" borderId="10" xfId="42" applyFont="1" applyBorder="1" applyAlignment="1">
      <alignment/>
    </xf>
    <xf numFmtId="0" fontId="85" fillId="0" borderId="10" xfId="0" applyFont="1" applyBorder="1" applyAlignment="1">
      <alignment/>
    </xf>
    <xf numFmtId="16" fontId="3" fillId="19" borderId="10" xfId="0" applyNumberFormat="1" applyFont="1" applyFill="1" applyBorder="1" applyAlignment="1">
      <alignment/>
    </xf>
    <xf numFmtId="43" fontId="3" fillId="0" borderId="10" xfId="42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43" fontId="0" fillId="0" borderId="10" xfId="42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" fontId="3" fillId="3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3" fillId="0" borderId="10" xfId="42" applyFont="1" applyFill="1" applyBorder="1" applyAlignment="1">
      <alignment horizontal="left"/>
    </xf>
    <xf numFmtId="43" fontId="2" fillId="0" borderId="10" xfId="0" applyNumberFormat="1" applyFont="1" applyBorder="1" applyAlignment="1">
      <alignment/>
    </xf>
    <xf numFmtId="43" fontId="3" fillId="0" borderId="0" xfId="42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43" fontId="85" fillId="0" borderId="0" xfId="42" applyFont="1" applyAlignment="1">
      <alignment/>
    </xf>
    <xf numFmtId="0" fontId="15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43" fontId="3" fillId="0" borderId="10" xfId="42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3" fontId="0" fillId="10" borderId="0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43" fontId="3" fillId="37" borderId="0" xfId="0" applyNumberFormat="1" applyFont="1" applyFill="1" applyBorder="1" applyAlignment="1">
      <alignment/>
    </xf>
    <xf numFmtId="43" fontId="0" fillId="1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6" fillId="0" borderId="0" xfId="0" applyFont="1" applyBorder="1" applyAlignment="1">
      <alignment/>
    </xf>
    <xf numFmtId="43" fontId="16" fillId="0" borderId="0" xfId="42" applyFont="1" applyBorder="1" applyAlignment="1">
      <alignment/>
    </xf>
    <xf numFmtId="43" fontId="5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71" fontId="3" fillId="0" borderId="0" xfId="0" applyNumberFormat="1" applyFont="1" applyBorder="1" applyAlignment="1">
      <alignment/>
    </xf>
    <xf numFmtId="43" fontId="16" fillId="0" borderId="0" xfId="42" applyFont="1" applyBorder="1" applyAlignment="1">
      <alignment horizontal="left"/>
    </xf>
    <xf numFmtId="16" fontId="3" fillId="0" borderId="0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43" fontId="0" fillId="0" borderId="0" xfId="42" applyFont="1" applyBorder="1" applyAlignment="1">
      <alignment horizontal="left"/>
    </xf>
    <xf numFmtId="0" fontId="16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3" fontId="0" fillId="0" borderId="0" xfId="42" applyFont="1" applyAlignment="1">
      <alignment horizontal="center"/>
    </xf>
    <xf numFmtId="43" fontId="19" fillId="0" borderId="0" xfId="42" applyFont="1" applyAlignment="1">
      <alignment horizontal="center"/>
    </xf>
    <xf numFmtId="43" fontId="3" fillId="0" borderId="0" xfId="42" applyFont="1" applyFill="1" applyAlignment="1">
      <alignment/>
    </xf>
    <xf numFmtId="15" fontId="3" fillId="0" borderId="0" xfId="42" applyNumberFormat="1" applyFont="1" applyAlignment="1">
      <alignment horizontal="center"/>
    </xf>
    <xf numFmtId="43" fontId="3" fillId="0" borderId="0" xfId="42" applyFont="1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0" applyNumberFormat="1" applyFont="1" applyFill="1" applyBorder="1" applyAlignment="1">
      <alignment/>
    </xf>
    <xf numFmtId="43" fontId="86" fillId="0" borderId="0" xfId="42" applyFont="1" applyBorder="1" applyAlignment="1">
      <alignment/>
    </xf>
    <xf numFmtId="0" fontId="3" fillId="11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43" fontId="8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3" fontId="7" fillId="0" borderId="0" xfId="42" applyFont="1" applyBorder="1" applyAlignment="1">
      <alignment/>
    </xf>
    <xf numFmtId="2" fontId="20" fillId="35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12" xfId="0" applyNumberFormat="1" applyFont="1" applyFill="1" applyBorder="1" applyAlignment="1">
      <alignment/>
    </xf>
    <xf numFmtId="0" fontId="21" fillId="0" borderId="0" xfId="0" applyFont="1" applyAlignment="1">
      <alignment/>
    </xf>
    <xf numFmtId="2" fontId="3" fillId="0" borderId="13" xfId="0" applyNumberFormat="1" applyFont="1" applyFill="1" applyBorder="1" applyAlignment="1">
      <alignment/>
    </xf>
    <xf numFmtId="43" fontId="3" fillId="0" borderId="0" xfId="42" applyFont="1" applyFill="1" applyAlignment="1">
      <alignment horizontal="lef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3" fillId="38" borderId="0" xfId="0" applyNumberFormat="1" applyFont="1" applyFill="1" applyAlignment="1">
      <alignment horizontal="left"/>
    </xf>
    <xf numFmtId="0" fontId="3" fillId="0" borderId="14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3" fillId="0" borderId="15" xfId="0" applyFont="1" applyFill="1" applyBorder="1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2" fontId="21" fillId="0" borderId="0" xfId="0" applyNumberFormat="1" applyFont="1" applyFill="1" applyAlignment="1">
      <alignment/>
    </xf>
    <xf numFmtId="2" fontId="3" fillId="34" borderId="10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6" fontId="3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/>
    </xf>
    <xf numFmtId="43" fontId="3" fillId="0" borderId="13" xfId="42" applyFont="1" applyFill="1" applyBorder="1" applyAlignment="1">
      <alignment/>
    </xf>
    <xf numFmtId="2" fontId="11" fillId="34" borderId="17" xfId="0" applyNumberFormat="1" applyFont="1" applyFill="1" applyBorder="1" applyAlignment="1">
      <alignment/>
    </xf>
    <xf numFmtId="0" fontId="12" fillId="34" borderId="17" xfId="0" applyFont="1" applyFill="1" applyBorder="1" applyAlignment="1">
      <alignment/>
    </xf>
    <xf numFmtId="43" fontId="12" fillId="34" borderId="0" xfId="42" applyFont="1" applyFill="1" applyAlignment="1">
      <alignment/>
    </xf>
    <xf numFmtId="0" fontId="12" fillId="34" borderId="0" xfId="0" applyFont="1" applyFill="1" applyAlignment="1">
      <alignment/>
    </xf>
    <xf numFmtId="1" fontId="12" fillId="34" borderId="0" xfId="0" applyNumberFormat="1" applyFont="1" applyFill="1" applyAlignment="1">
      <alignment/>
    </xf>
    <xf numFmtId="0" fontId="75" fillId="34" borderId="0" xfId="54" applyFill="1" applyAlignment="1" applyProtection="1">
      <alignment/>
      <protection/>
    </xf>
    <xf numFmtId="43" fontId="12" fillId="0" borderId="0" xfId="42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43" fontId="3" fillId="0" borderId="12" xfId="42" applyFont="1" applyFill="1" applyBorder="1" applyAlignment="1">
      <alignment/>
    </xf>
    <xf numFmtId="2" fontId="2" fillId="34" borderId="0" xfId="0" applyNumberFormat="1" applyFont="1" applyFill="1" applyAlignment="1">
      <alignment horizontal="left"/>
    </xf>
    <xf numFmtId="0" fontId="6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3" fontId="5" fillId="0" borderId="0" xfId="42" applyFont="1" applyFill="1" applyAlignment="1">
      <alignment/>
    </xf>
    <xf numFmtId="2" fontId="2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88" fillId="34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75" fillId="0" borderId="18" xfId="54" applyNumberFormat="1" applyFill="1" applyBorder="1" applyAlignment="1" applyProtection="1">
      <alignment/>
      <protection/>
    </xf>
    <xf numFmtId="168" fontId="0" fillId="0" borderId="0" xfId="0" applyNumberFormat="1" applyFill="1" applyAlignment="1">
      <alignment horizontal="center"/>
    </xf>
    <xf numFmtId="2" fontId="17" fillId="0" borderId="0" xfId="0" applyNumberFormat="1" applyFont="1" applyFill="1" applyBorder="1" applyAlignment="1">
      <alignment/>
    </xf>
    <xf numFmtId="43" fontId="23" fillId="0" borderId="0" xfId="0" applyNumberFormat="1" applyFont="1" applyFill="1" applyBorder="1" applyAlignment="1">
      <alignment/>
    </xf>
    <xf numFmtId="44" fontId="23" fillId="0" borderId="0" xfId="45" applyFont="1" applyAlignment="1">
      <alignment/>
    </xf>
    <xf numFmtId="43" fontId="5" fillId="0" borderId="0" xfId="42" applyFont="1" applyAlignment="1">
      <alignment/>
    </xf>
    <xf numFmtId="2" fontId="4" fillId="0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172" fontId="3" fillId="0" borderId="0" xfId="0" applyNumberFormat="1" applyFont="1" applyAlignment="1">
      <alignment/>
    </xf>
    <xf numFmtId="43" fontId="20" fillId="35" borderId="0" xfId="42" applyFont="1" applyFill="1" applyAlignment="1">
      <alignment horizontal="left"/>
    </xf>
    <xf numFmtId="16" fontId="0" fillId="0" borderId="0" xfId="0" applyNumberFormat="1" applyFont="1" applyAlignment="1">
      <alignment/>
    </xf>
    <xf numFmtId="43" fontId="3" fillId="19" borderId="0" xfId="42" applyFont="1" applyFill="1" applyAlignment="1">
      <alignment horizontal="left"/>
    </xf>
    <xf numFmtId="43" fontId="8" fillId="0" borderId="0" xfId="42" applyFont="1" applyFill="1" applyAlignment="1">
      <alignment/>
    </xf>
    <xf numFmtId="43" fontId="3" fillId="38" borderId="0" xfId="42" applyFont="1" applyFill="1" applyAlignment="1">
      <alignment horizontal="left"/>
    </xf>
    <xf numFmtId="16" fontId="0" fillId="0" borderId="0" xfId="0" applyNumberFormat="1" applyFont="1" applyFill="1" applyBorder="1" applyAlignment="1">
      <alignment/>
    </xf>
    <xf numFmtId="16" fontId="0" fillId="0" borderId="0" xfId="0" applyNumberFormat="1" applyFont="1" applyFill="1" applyAlignment="1">
      <alignment/>
    </xf>
    <xf numFmtId="43" fontId="3" fillId="0" borderId="16" xfId="42" applyFont="1" applyFill="1" applyBorder="1" applyAlignment="1">
      <alignment/>
    </xf>
    <xf numFmtId="43" fontId="3" fillId="0" borderId="13" xfId="42" applyFont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center"/>
    </xf>
    <xf numFmtId="43" fontId="5" fillId="0" borderId="0" xfId="42" applyFont="1" applyFill="1" applyBorder="1" applyAlignment="1">
      <alignment/>
    </xf>
    <xf numFmtId="16" fontId="5" fillId="0" borderId="0" xfId="0" applyNumberFormat="1" applyFont="1" applyFill="1" applyBorder="1" applyAlignment="1">
      <alignment/>
    </xf>
    <xf numFmtId="2" fontId="0" fillId="13" borderId="0" xfId="0" applyNumberFormat="1" applyFill="1" applyAlignment="1">
      <alignment/>
    </xf>
    <xf numFmtId="43" fontId="0" fillId="13" borderId="0" xfId="42" applyFont="1" applyFill="1" applyAlignment="1">
      <alignment/>
    </xf>
    <xf numFmtId="0" fontId="5" fillId="1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3" fontId="5" fillId="34" borderId="10" xfId="42" applyFont="1" applyFill="1" applyBorder="1" applyAlignment="1">
      <alignment/>
    </xf>
    <xf numFmtId="0" fontId="4" fillId="0" borderId="0" xfId="0" applyFont="1" applyAlignment="1">
      <alignment/>
    </xf>
    <xf numFmtId="43" fontId="5" fillId="36" borderId="0" xfId="42" applyFont="1" applyFill="1" applyAlignment="1">
      <alignment/>
    </xf>
    <xf numFmtId="170" fontId="3" fillId="0" borderId="0" xfId="0" applyNumberFormat="1" applyFont="1" applyAlignment="1">
      <alignment/>
    </xf>
    <xf numFmtId="17" fontId="0" fillId="0" borderId="0" xfId="42" applyNumberFormat="1" applyFont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16" fontId="6" fillId="0" borderId="0" xfId="0" applyNumberFormat="1" applyFont="1" applyFill="1" applyBorder="1" applyAlignment="1">
      <alignment/>
    </xf>
    <xf numFmtId="43" fontId="3" fillId="18" borderId="0" xfId="42" applyFont="1" applyFill="1" applyAlignment="1">
      <alignment horizontal="left"/>
    </xf>
    <xf numFmtId="2" fontId="24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6" fontId="3" fillId="0" borderId="0" xfId="0" applyNumberFormat="1" applyFont="1" applyAlignment="1">
      <alignment/>
    </xf>
    <xf numFmtId="0" fontId="83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0" xfId="42" applyFont="1" applyFill="1" applyAlignment="1">
      <alignment/>
    </xf>
    <xf numFmtId="2" fontId="3" fillId="0" borderId="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83" fillId="0" borderId="0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 horizontal="right"/>
    </xf>
    <xf numFmtId="0" fontId="89" fillId="34" borderId="10" xfId="0" applyFont="1" applyFill="1" applyBorder="1" applyAlignment="1">
      <alignment/>
    </xf>
    <xf numFmtId="0" fontId="90" fillId="39" borderId="0" xfId="0" applyFont="1" applyFill="1" applyAlignment="1">
      <alignment/>
    </xf>
    <xf numFmtId="0" fontId="90" fillId="39" borderId="0" xfId="0" applyFont="1" applyFill="1" applyBorder="1" applyAlignment="1">
      <alignment/>
    </xf>
    <xf numFmtId="43" fontId="90" fillId="39" borderId="0" xfId="0" applyNumberFormat="1" applyFont="1" applyFill="1" applyBorder="1" applyAlignment="1">
      <alignment/>
    </xf>
    <xf numFmtId="2" fontId="75" fillId="0" borderId="10" xfId="54" applyNumberFormat="1" applyFill="1" applyBorder="1" applyAlignment="1" applyProtection="1">
      <alignment/>
      <protection/>
    </xf>
    <xf numFmtId="0" fontId="25" fillId="0" borderId="10" xfId="0" applyFont="1" applyFill="1" applyBorder="1" applyAlignment="1">
      <alignment horizontal="center"/>
    </xf>
    <xf numFmtId="0" fontId="84" fillId="0" borderId="0" xfId="0" applyFont="1" applyAlignment="1">
      <alignment/>
    </xf>
    <xf numFmtId="43" fontId="2" fillId="0" borderId="0" xfId="42" applyFont="1" applyFill="1" applyBorder="1" applyAlignment="1">
      <alignment/>
    </xf>
    <xf numFmtId="16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43" fontId="26" fillId="0" borderId="0" xfId="42" applyFont="1" applyFill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27" fillId="0" borderId="0" xfId="0" applyNumberFormat="1" applyFont="1" applyBorder="1" applyAlignment="1">
      <alignment/>
    </xf>
    <xf numFmtId="16" fontId="0" fillId="0" borderId="0" xfId="0" applyNumberFormat="1" applyFont="1" applyAlignment="1">
      <alignment horizontal="left"/>
    </xf>
    <xf numFmtId="0" fontId="6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43" fontId="4" fillId="0" borderId="0" xfId="42" applyFont="1" applyFill="1" applyAlignment="1">
      <alignment/>
    </xf>
    <xf numFmtId="168" fontId="6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74" fontId="0" fillId="0" borderId="0" xfId="0" applyNumberForma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left"/>
    </xf>
    <xf numFmtId="16" fontId="6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43" fontId="5" fillId="34" borderId="0" xfId="0" applyNumberFormat="1" applyFont="1" applyFill="1" applyBorder="1" applyAlignment="1">
      <alignment/>
    </xf>
    <xf numFmtId="43" fontId="5" fillId="34" borderId="0" xfId="42" applyFont="1" applyFill="1" applyBorder="1" applyAlignment="1">
      <alignment/>
    </xf>
    <xf numFmtId="0" fontId="88" fillId="34" borderId="10" xfId="0" applyFont="1" applyFill="1" applyBorder="1" applyAlignment="1">
      <alignment/>
    </xf>
    <xf numFmtId="43" fontId="0" fillId="0" borderId="0" xfId="0" applyNumberFormat="1" applyFill="1" applyAlignment="1">
      <alignment/>
    </xf>
    <xf numFmtId="0" fontId="16" fillId="0" borderId="0" xfId="0" applyFont="1" applyAlignment="1">
      <alignment/>
    </xf>
    <xf numFmtId="43" fontId="16" fillId="0" borderId="0" xfId="0" applyNumberFormat="1" applyFont="1" applyAlignment="1">
      <alignment/>
    </xf>
    <xf numFmtId="43" fontId="3" fillId="7" borderId="13" xfId="42" applyFont="1" applyFill="1" applyBorder="1" applyAlignment="1">
      <alignment/>
    </xf>
    <xf numFmtId="0" fontId="0" fillId="0" borderId="0" xfId="0" applyFont="1" applyFill="1" applyAlignment="1">
      <alignment horizontal="left"/>
    </xf>
    <xf numFmtId="2" fontId="16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3" fontId="16" fillId="0" borderId="0" xfId="0" applyNumberFormat="1" applyFont="1" applyFill="1" applyAlignment="1">
      <alignment/>
    </xf>
    <xf numFmtId="16" fontId="3" fillId="0" borderId="0" xfId="0" applyNumberFormat="1" applyFont="1" applyFill="1" applyAlignment="1">
      <alignment/>
    </xf>
    <xf numFmtId="43" fontId="16" fillId="0" borderId="0" xfId="0" applyNumberFormat="1" applyFont="1" applyFill="1" applyBorder="1" applyAlignment="1">
      <alignment/>
    </xf>
    <xf numFmtId="43" fontId="0" fillId="0" borderId="10" xfId="42" applyFont="1" applyBorder="1" applyAlignment="1">
      <alignment horizontal="left"/>
    </xf>
    <xf numFmtId="16" fontId="0" fillId="0" borderId="10" xfId="0" applyNumberFormat="1" applyFont="1" applyBorder="1" applyAlignment="1">
      <alignment/>
    </xf>
    <xf numFmtId="43" fontId="5" fillId="0" borderId="10" xfId="42" applyFont="1" applyFill="1" applyBorder="1" applyAlignment="1">
      <alignment/>
    </xf>
    <xf numFmtId="43" fontId="84" fillId="0" borderId="1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2" fontId="3" fillId="34" borderId="0" xfId="0" applyNumberFormat="1" applyFont="1" applyFill="1" applyBorder="1" applyAlignment="1">
      <alignment/>
    </xf>
    <xf numFmtId="43" fontId="29" fillId="34" borderId="0" xfId="42" applyFont="1" applyFill="1" applyBorder="1" applyAlignment="1">
      <alignment/>
    </xf>
    <xf numFmtId="16" fontId="29" fillId="34" borderId="0" xfId="0" applyNumberFormat="1" applyFont="1" applyFill="1" applyAlignment="1">
      <alignment/>
    </xf>
    <xf numFmtId="43" fontId="0" fillId="0" borderId="1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9" fillId="34" borderId="19" xfId="0" applyFont="1" applyFill="1" applyBorder="1" applyAlignment="1">
      <alignment/>
    </xf>
    <xf numFmtId="43" fontId="11" fillId="0" borderId="0" xfId="0" applyNumberFormat="1" applyFont="1" applyAlignment="1">
      <alignment/>
    </xf>
    <xf numFmtId="43" fontId="12" fillId="0" borderId="10" xfId="0" applyNumberFormat="1" applyFont="1" applyBorder="1" applyAlignment="1">
      <alignment/>
    </xf>
    <xf numFmtId="43" fontId="3" fillId="0" borderId="0" xfId="0" applyNumberFormat="1" applyFont="1" applyFill="1" applyAlignment="1">
      <alignment/>
    </xf>
    <xf numFmtId="14" fontId="5" fillId="19" borderId="10" xfId="42" applyNumberFormat="1" applyFont="1" applyFill="1" applyBorder="1" applyAlignment="1">
      <alignment horizontal="left"/>
    </xf>
    <xf numFmtId="0" fontId="5" fillId="19" borderId="10" xfId="0" applyFont="1" applyFill="1" applyBorder="1" applyAlignment="1">
      <alignment horizontal="left"/>
    </xf>
    <xf numFmtId="43" fontId="5" fillId="19" borderId="10" xfId="42" applyFont="1" applyFill="1" applyBorder="1" applyAlignment="1">
      <alignment horizontal="left"/>
    </xf>
    <xf numFmtId="0" fontId="0" fillId="18" borderId="10" xfId="0" applyFill="1" applyBorder="1" applyAlignment="1">
      <alignment/>
    </xf>
    <xf numFmtId="0" fontId="0" fillId="18" borderId="0" xfId="0" applyFill="1" applyAlignment="1">
      <alignment/>
    </xf>
    <xf numFmtId="0" fontId="5" fillId="21" borderId="10" xfId="0" applyFont="1" applyFill="1" applyBorder="1" applyAlignment="1">
      <alignment/>
    </xf>
    <xf numFmtId="17" fontId="84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 horizontal="left"/>
    </xf>
    <xf numFmtId="43" fontId="3" fillId="0" borderId="0" xfId="44" applyFont="1" applyFill="1" applyAlignment="1">
      <alignment horizontal="left"/>
    </xf>
    <xf numFmtId="43" fontId="3" fillId="34" borderId="0" xfId="44" applyFont="1" applyFill="1" applyAlignment="1">
      <alignment horizontal="left"/>
    </xf>
    <xf numFmtId="43" fontId="3" fillId="0" borderId="0" xfId="44" applyFont="1" applyAlignment="1">
      <alignment horizontal="left"/>
    </xf>
    <xf numFmtId="43" fontId="3" fillId="19" borderId="0" xfId="44" applyFont="1" applyFill="1" applyAlignment="1">
      <alignment horizontal="left"/>
    </xf>
    <xf numFmtId="43" fontId="0" fillId="34" borderId="10" xfId="42" applyFont="1" applyFill="1" applyBorder="1" applyAlignment="1">
      <alignment/>
    </xf>
    <xf numFmtId="0" fontId="3" fillId="0" borderId="0" xfId="58" applyFont="1">
      <alignment/>
      <protection/>
    </xf>
    <xf numFmtId="0" fontId="0" fillId="0" borderId="0" xfId="58">
      <alignment/>
      <protection/>
    </xf>
    <xf numFmtId="43" fontId="3" fillId="0" borderId="0" xfId="44" applyFont="1" applyAlignment="1">
      <alignment/>
    </xf>
    <xf numFmtId="0" fontId="0" fillId="0" borderId="0" xfId="58" applyFont="1">
      <alignment/>
      <protection/>
    </xf>
    <xf numFmtId="16" fontId="3" fillId="2" borderId="10" xfId="58" applyNumberFormat="1" applyFont="1" applyFill="1" applyBorder="1">
      <alignment/>
      <protection/>
    </xf>
    <xf numFmtId="43" fontId="3" fillId="34" borderId="10" xfId="44" applyFont="1" applyFill="1" applyBorder="1" applyAlignment="1">
      <alignment/>
    </xf>
    <xf numFmtId="43" fontId="3" fillId="0" borderId="10" xfId="44" applyFont="1" applyBorder="1" applyAlignment="1">
      <alignment/>
    </xf>
    <xf numFmtId="0" fontId="3" fillId="0" borderId="20" xfId="58" applyFont="1" applyBorder="1">
      <alignment/>
      <protection/>
    </xf>
    <xf numFmtId="43" fontId="3" fillId="34" borderId="10" xfId="58" applyNumberFormat="1" applyFont="1" applyFill="1" applyBorder="1">
      <alignment/>
      <protection/>
    </xf>
    <xf numFmtId="0" fontId="6" fillId="0" borderId="20" xfId="58" applyFont="1" applyBorder="1">
      <alignment/>
      <protection/>
    </xf>
    <xf numFmtId="43" fontId="3" fillId="0" borderId="10" xfId="44" applyFont="1" applyFill="1" applyBorder="1" applyAlignment="1">
      <alignment/>
    </xf>
    <xf numFmtId="0" fontId="3" fillId="0" borderId="20" xfId="58" applyFont="1" applyFill="1" applyBorder="1">
      <alignment/>
      <protection/>
    </xf>
    <xf numFmtId="0" fontId="3" fillId="0" borderId="10" xfId="58" applyFont="1" applyFill="1" applyBorder="1">
      <alignment/>
      <protection/>
    </xf>
    <xf numFmtId="16" fontId="3" fillId="0" borderId="10" xfId="58" applyNumberFormat="1" applyFont="1" applyFill="1" applyBorder="1">
      <alignment/>
      <protection/>
    </xf>
    <xf numFmtId="0" fontId="3" fillId="0" borderId="10" xfId="58" applyFont="1" applyBorder="1">
      <alignment/>
      <protection/>
    </xf>
    <xf numFmtId="43" fontId="83" fillId="0" borderId="10" xfId="58" applyNumberFormat="1" applyFont="1" applyBorder="1">
      <alignment/>
      <protection/>
    </xf>
    <xf numFmtId="43" fontId="3" fillId="0" borderId="10" xfId="58" applyNumberFormat="1" applyFont="1" applyBorder="1">
      <alignment/>
      <protection/>
    </xf>
    <xf numFmtId="16" fontId="0" fillId="0" borderId="0" xfId="58" applyNumberFormat="1">
      <alignment/>
      <protection/>
    </xf>
    <xf numFmtId="43" fontId="83" fillId="0" borderId="0" xfId="44" applyFont="1" applyAlignment="1">
      <alignment/>
    </xf>
    <xf numFmtId="0" fontId="85" fillId="0" borderId="0" xfId="58" applyFont="1">
      <alignment/>
      <protection/>
    </xf>
    <xf numFmtId="43" fontId="3" fillId="0" borderId="10" xfId="58" applyNumberFormat="1" applyFont="1" applyBorder="1" applyAlignment="1">
      <alignment horizontal="left"/>
      <protection/>
    </xf>
    <xf numFmtId="43" fontId="5" fillId="5" borderId="0" xfId="58" applyNumberFormat="1" applyFont="1" applyFill="1">
      <alignment/>
      <protection/>
    </xf>
    <xf numFmtId="0" fontId="0" fillId="0" borderId="10" xfId="58" applyBorder="1">
      <alignment/>
      <protection/>
    </xf>
    <xf numFmtId="0" fontId="85" fillId="0" borderId="10" xfId="58" applyFont="1" applyBorder="1">
      <alignment/>
      <protection/>
    </xf>
    <xf numFmtId="43" fontId="85" fillId="0" borderId="10" xfId="44" applyFont="1" applyBorder="1" applyAlignment="1">
      <alignment/>
    </xf>
    <xf numFmtId="16" fontId="3" fillId="19" borderId="10" xfId="58" applyNumberFormat="1" applyFont="1" applyFill="1" applyBorder="1">
      <alignment/>
      <protection/>
    </xf>
    <xf numFmtId="43" fontId="3" fillId="19" borderId="10" xfId="44" applyFont="1" applyFill="1" applyBorder="1" applyAlignment="1">
      <alignment/>
    </xf>
    <xf numFmtId="43" fontId="3" fillId="19" borderId="10" xfId="44" applyFont="1" applyFill="1" applyBorder="1" applyAlignment="1">
      <alignment horizontal="center"/>
    </xf>
    <xf numFmtId="0" fontId="0" fillId="0" borderId="0" xfId="58" applyFont="1" applyAlignment="1">
      <alignment horizontal="center"/>
      <protection/>
    </xf>
    <xf numFmtId="43" fontId="16" fillId="0" borderId="0" xfId="44" applyFont="1" applyBorder="1" applyAlignment="1">
      <alignment/>
    </xf>
    <xf numFmtId="0" fontId="0" fillId="0" borderId="0" xfId="58" applyFont="1" applyBorder="1">
      <alignment/>
      <protection/>
    </xf>
    <xf numFmtId="16" fontId="2" fillId="0" borderId="10" xfId="58" applyNumberFormat="1" applyFont="1" applyBorder="1">
      <alignment/>
      <protection/>
    </xf>
    <xf numFmtId="0" fontId="16" fillId="0" borderId="10" xfId="58" applyFont="1" applyBorder="1">
      <alignment/>
      <protection/>
    </xf>
    <xf numFmtId="43" fontId="3" fillId="25" borderId="10" xfId="44" applyFont="1" applyFill="1" applyBorder="1" applyAlignment="1">
      <alignment/>
    </xf>
    <xf numFmtId="0" fontId="0" fillId="0" borderId="0" xfId="58" applyFont="1" applyAlignment="1">
      <alignment horizontal="left"/>
      <protection/>
    </xf>
    <xf numFmtId="43" fontId="0" fillId="0" borderId="0" xfId="44" applyFont="1" applyAlignment="1">
      <alignment horizontal="left"/>
    </xf>
    <xf numFmtId="17" fontId="5" fillId="0" borderId="10" xfId="58" applyNumberFormat="1" applyFont="1" applyBorder="1" applyAlignment="1">
      <alignment horizontal="center"/>
      <protection/>
    </xf>
    <xf numFmtId="43" fontId="6" fillId="0" borderId="10" xfId="58" applyNumberFormat="1" applyFont="1" applyFill="1" applyBorder="1">
      <alignment/>
      <protection/>
    </xf>
    <xf numFmtId="0" fontId="0" fillId="0" borderId="10" xfId="58" applyFont="1" applyBorder="1">
      <alignment/>
      <protection/>
    </xf>
    <xf numFmtId="43" fontId="5" fillId="0" borderId="0" xfId="58" applyNumberFormat="1" applyFont="1" applyAlignment="1">
      <alignment horizontal="left"/>
      <protection/>
    </xf>
    <xf numFmtId="43" fontId="0" fillId="0" borderId="0" xfId="58" applyNumberFormat="1" applyFont="1">
      <alignment/>
      <protection/>
    </xf>
    <xf numFmtId="43" fontId="0" fillId="0" borderId="10" xfId="44" applyFont="1" applyBorder="1" applyAlignment="1">
      <alignment/>
    </xf>
    <xf numFmtId="43" fontId="0" fillId="0" borderId="0" xfId="58" applyNumberFormat="1" applyAlignment="1">
      <alignment horizontal="left"/>
      <protection/>
    </xf>
    <xf numFmtId="43" fontId="0" fillId="0" borderId="0" xfId="44" applyFont="1" applyAlignment="1">
      <alignment/>
    </xf>
    <xf numFmtId="0" fontId="15" fillId="0" borderId="0" xfId="58" applyFont="1">
      <alignment/>
      <protection/>
    </xf>
    <xf numFmtId="43" fontId="3" fillId="2" borderId="10" xfId="44" applyFont="1" applyFill="1" applyBorder="1" applyAlignment="1">
      <alignment/>
    </xf>
    <xf numFmtId="0" fontId="0" fillId="0" borderId="0" xfId="58" applyAlignment="1">
      <alignment horizontal="left"/>
      <protection/>
    </xf>
    <xf numFmtId="43" fontId="3" fillId="0" borderId="10" xfId="44" applyFont="1" applyBorder="1" applyAlignment="1">
      <alignment horizontal="center"/>
    </xf>
    <xf numFmtId="43" fontId="0" fillId="0" borderId="10" xfId="58" applyNumberFormat="1" applyFont="1" applyBorder="1">
      <alignment/>
      <protection/>
    </xf>
    <xf numFmtId="43" fontId="84" fillId="0" borderId="10" xfId="44" applyFont="1" applyBorder="1" applyAlignment="1">
      <alignment/>
    </xf>
    <xf numFmtId="0" fontId="2" fillId="0" borderId="10" xfId="58" applyFont="1" applyBorder="1">
      <alignment/>
      <protection/>
    </xf>
    <xf numFmtId="0" fontId="6" fillId="0" borderId="10" xfId="58" applyFont="1" applyBorder="1">
      <alignment/>
      <protection/>
    </xf>
    <xf numFmtId="43" fontId="0" fillId="0" borderId="0" xfId="44" applyFont="1" applyFill="1" applyAlignment="1">
      <alignment horizontal="left"/>
    </xf>
    <xf numFmtId="43" fontId="91" fillId="0" borderId="0" xfId="44" applyFont="1" applyFill="1" applyAlignment="1">
      <alignment/>
    </xf>
    <xf numFmtId="17" fontId="5" fillId="0" borderId="10" xfId="58" applyNumberFormat="1" applyFont="1" applyBorder="1">
      <alignment/>
      <protection/>
    </xf>
    <xf numFmtId="43" fontId="0" fillId="6" borderId="21" xfId="44" applyFont="1" applyFill="1" applyBorder="1" applyAlignment="1">
      <alignment horizontal="left"/>
    </xf>
    <xf numFmtId="43" fontId="0" fillId="0" borderId="0" xfId="58" applyNumberFormat="1" applyFont="1" applyAlignment="1">
      <alignment horizontal="left"/>
      <protection/>
    </xf>
    <xf numFmtId="16" fontId="3" fillId="3" borderId="10" xfId="58" applyNumberFormat="1" applyFont="1" applyFill="1" applyBorder="1">
      <alignment/>
      <protection/>
    </xf>
    <xf numFmtId="43" fontId="0" fillId="3" borderId="21" xfId="44" applyFont="1" applyFill="1" applyBorder="1" applyAlignment="1">
      <alignment horizontal="left"/>
    </xf>
    <xf numFmtId="43" fontId="84" fillId="0" borderId="0" xfId="44" applyFont="1" applyFill="1" applyAlignment="1">
      <alignment/>
    </xf>
    <xf numFmtId="0" fontId="91" fillId="0" borderId="10" xfId="58" applyFont="1" applyBorder="1">
      <alignment/>
      <protection/>
    </xf>
    <xf numFmtId="0" fontId="3" fillId="0" borderId="0" xfId="58" applyFont="1" applyAlignment="1">
      <alignment horizontal="left"/>
      <protection/>
    </xf>
    <xf numFmtId="43" fontId="5" fillId="0" borderId="10" xfId="44" applyFont="1" applyBorder="1" applyAlignment="1">
      <alignment/>
    </xf>
    <xf numFmtId="43" fontId="2" fillId="0" borderId="10" xfId="44" applyFont="1" applyBorder="1" applyAlignment="1">
      <alignment horizontal="center"/>
    </xf>
    <xf numFmtId="43" fontId="6" fillId="0" borderId="10" xfId="44" applyFont="1" applyBorder="1" applyAlignment="1">
      <alignment/>
    </xf>
    <xf numFmtId="0" fontId="3" fillId="3" borderId="10" xfId="58" applyFont="1" applyFill="1" applyBorder="1">
      <alignment/>
      <protection/>
    </xf>
    <xf numFmtId="43" fontId="0" fillId="3" borderId="22" xfId="44" applyFont="1" applyFill="1" applyBorder="1" applyAlignment="1">
      <alignment horizontal="left"/>
    </xf>
    <xf numFmtId="43" fontId="2" fillId="0" borderId="10" xfId="58" applyNumberFormat="1" applyFont="1" applyBorder="1">
      <alignment/>
      <protection/>
    </xf>
    <xf numFmtId="43" fontId="3" fillId="0" borderId="0" xfId="58" applyNumberFormat="1" applyFont="1">
      <alignment/>
      <protection/>
    </xf>
    <xf numFmtId="43" fontId="3" fillId="0" borderId="0" xfId="44" applyFont="1" applyAlignment="1">
      <alignment horizontal="center"/>
    </xf>
    <xf numFmtId="43" fontId="2" fillId="0" borderId="10" xfId="44" applyFont="1" applyBorder="1" applyAlignment="1">
      <alignment/>
    </xf>
    <xf numFmtId="43" fontId="92" fillId="0" borderId="0" xfId="58" applyNumberFormat="1" applyFont="1">
      <alignment/>
      <protection/>
    </xf>
    <xf numFmtId="43" fontId="2" fillId="0" borderId="0" xfId="44" applyFont="1" applyAlignment="1">
      <alignment horizontal="center"/>
    </xf>
    <xf numFmtId="43" fontId="93" fillId="0" borderId="10" xfId="58" applyNumberFormat="1" applyFont="1" applyBorder="1">
      <alignment/>
      <protection/>
    </xf>
    <xf numFmtId="43" fontId="0" fillId="0" borderId="10" xfId="58" applyNumberFormat="1" applyBorder="1">
      <alignment/>
      <protection/>
    </xf>
    <xf numFmtId="43" fontId="2" fillId="0" borderId="0" xfId="58" applyNumberFormat="1" applyFont="1" applyFill="1" applyAlignment="1">
      <alignment horizontal="left"/>
      <protection/>
    </xf>
    <xf numFmtId="43" fontId="2" fillId="34" borderId="19" xfId="58" applyNumberFormat="1" applyFont="1" applyFill="1" applyBorder="1">
      <alignment/>
      <protection/>
    </xf>
    <xf numFmtId="43" fontId="3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0" fontId="3" fillId="0" borderId="0" xfId="58" applyFont="1" applyBorder="1">
      <alignment/>
      <protection/>
    </xf>
    <xf numFmtId="43" fontId="0" fillId="0" borderId="0" xfId="58" applyNumberFormat="1" applyFont="1" applyFill="1" applyBorder="1">
      <alignment/>
      <protection/>
    </xf>
    <xf numFmtId="43" fontId="85" fillId="0" borderId="0" xfId="58" applyNumberFormat="1" applyFont="1">
      <alignment/>
      <protection/>
    </xf>
    <xf numFmtId="43" fontId="3" fillId="0" borderId="0" xfId="58" applyNumberFormat="1" applyFont="1" applyBorder="1">
      <alignment/>
      <protection/>
    </xf>
    <xf numFmtId="43" fontId="3" fillId="0" borderId="0" xfId="58" applyNumberFormat="1" applyFont="1" applyFill="1" applyBorder="1">
      <alignment/>
      <protection/>
    </xf>
    <xf numFmtId="0" fontId="3" fillId="0" borderId="10" xfId="58" applyFont="1" applyBorder="1" applyAlignment="1">
      <alignment horizontal="right"/>
      <protection/>
    </xf>
    <xf numFmtId="43" fontId="3" fillId="0" borderId="10" xfId="44" applyFont="1" applyBorder="1" applyAlignment="1">
      <alignment horizontal="left"/>
    </xf>
    <xf numFmtId="0" fontId="0" fillId="0" borderId="0" xfId="58" applyBorder="1">
      <alignment/>
      <protection/>
    </xf>
    <xf numFmtId="0" fontId="3" fillId="0" borderId="0" xfId="58" applyFont="1" applyFill="1" applyBorder="1">
      <alignment/>
      <protection/>
    </xf>
    <xf numFmtId="43" fontId="0" fillId="0" borderId="0" xfId="44" applyFont="1" applyFill="1" applyBorder="1" applyAlignment="1">
      <alignment/>
    </xf>
    <xf numFmtId="0" fontId="0" fillId="0" borderId="0" xfId="58" applyFont="1" applyFill="1" applyBorder="1">
      <alignment/>
      <protection/>
    </xf>
    <xf numFmtId="43" fontId="17" fillId="0" borderId="10" xfId="44" applyFont="1" applyBorder="1" applyAlignment="1">
      <alignment/>
    </xf>
    <xf numFmtId="43" fontId="2" fillId="0" borderId="0" xfId="44" applyFont="1" applyBorder="1" applyAlignment="1">
      <alignment/>
    </xf>
    <xf numFmtId="0" fontId="3" fillId="13" borderId="10" xfId="58" applyFont="1" applyFill="1" applyBorder="1">
      <alignment/>
      <protection/>
    </xf>
    <xf numFmtId="43" fontId="3" fillId="13" borderId="10" xfId="44" applyFont="1" applyFill="1" applyBorder="1" applyAlignment="1">
      <alignment/>
    </xf>
    <xf numFmtId="43" fontId="3" fillId="13" borderId="10" xfId="58" applyNumberFormat="1" applyFont="1" applyFill="1" applyBorder="1">
      <alignment/>
      <protection/>
    </xf>
    <xf numFmtId="43" fontId="0" fillId="13" borderId="10" xfId="44" applyFont="1" applyFill="1" applyBorder="1" applyAlignment="1">
      <alignment/>
    </xf>
    <xf numFmtId="43" fontId="0" fillId="13" borderId="10" xfId="44" applyFont="1" applyFill="1" applyBorder="1" applyAlignment="1">
      <alignment/>
    </xf>
    <xf numFmtId="0" fontId="0" fillId="0" borderId="10" xfId="58" applyFont="1" applyBorder="1">
      <alignment/>
      <protection/>
    </xf>
    <xf numFmtId="43" fontId="0" fillId="0" borderId="10" xfId="58" applyNumberFormat="1" applyFont="1" applyBorder="1">
      <alignment/>
      <protection/>
    </xf>
    <xf numFmtId="2" fontId="30" fillId="0" borderId="0" xfId="0" applyNumberFormat="1" applyFont="1" applyFill="1" applyBorder="1" applyAlignment="1">
      <alignment/>
    </xf>
    <xf numFmtId="43" fontId="0" fillId="7" borderId="0" xfId="42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43" fontId="31" fillId="34" borderId="0" xfId="42" applyFont="1" applyFill="1" applyBorder="1" applyAlignment="1">
      <alignment/>
    </xf>
    <xf numFmtId="43" fontId="0" fillId="34" borderId="10" xfId="42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0" fillId="0" borderId="20" xfId="58" applyFont="1" applyBorder="1">
      <alignment/>
      <protection/>
    </xf>
    <xf numFmtId="43" fontId="3" fillId="7" borderId="0" xfId="42" applyFont="1" applyFill="1" applyBorder="1" applyAlignment="1">
      <alignment/>
    </xf>
    <xf numFmtId="0" fontId="84" fillId="0" borderId="10" xfId="0" applyFont="1" applyBorder="1" applyAlignment="1">
      <alignment/>
    </xf>
    <xf numFmtId="0" fontId="0" fillId="40" borderId="0" xfId="0" applyFill="1" applyAlignment="1">
      <alignment/>
    </xf>
    <xf numFmtId="43" fontId="0" fillId="40" borderId="0" xfId="42" applyFont="1" applyFill="1" applyAlignment="1">
      <alignment/>
    </xf>
    <xf numFmtId="43" fontId="0" fillId="0" borderId="10" xfId="44" applyFont="1" applyBorder="1" applyAlignment="1">
      <alignment/>
    </xf>
    <xf numFmtId="17" fontId="2" fillId="0" borderId="10" xfId="44" applyNumberFormat="1" applyFont="1" applyBorder="1" applyAlignment="1">
      <alignment horizontal="center"/>
    </xf>
    <xf numFmtId="43" fontId="0" fillId="0" borderId="0" xfId="58" applyNumberFormat="1" applyFont="1">
      <alignment/>
      <protection/>
    </xf>
    <xf numFmtId="43" fontId="0" fillId="0" borderId="0" xfId="44" applyFont="1" applyAlignment="1">
      <alignment horizontal="left"/>
    </xf>
    <xf numFmtId="43" fontId="32" fillId="0" borderId="0" xfId="42" applyFont="1" applyFill="1" applyAlignment="1">
      <alignment/>
    </xf>
    <xf numFmtId="16" fontId="2" fillId="34" borderId="10" xfId="58" applyNumberFormat="1" applyFont="1" applyFill="1" applyBorder="1">
      <alignment/>
      <protection/>
    </xf>
    <xf numFmtId="43" fontId="3" fillId="0" borderId="10" xfId="58" applyNumberFormat="1" applyFont="1" applyFill="1" applyBorder="1">
      <alignment/>
      <protection/>
    </xf>
    <xf numFmtId="0" fontId="18" fillId="19" borderId="0" xfId="0" applyFont="1" applyFill="1" applyAlignment="1">
      <alignment/>
    </xf>
    <xf numFmtId="2" fontId="19" fillId="8" borderId="0" xfId="0" applyNumberFormat="1" applyFont="1" applyFill="1" applyBorder="1" applyAlignment="1">
      <alignment/>
    </xf>
    <xf numFmtId="0" fontId="94" fillId="0" borderId="0" xfId="0" applyFont="1" applyAlignment="1">
      <alignment/>
    </xf>
    <xf numFmtId="2" fontId="0" fillId="0" borderId="10" xfId="58" applyNumberFormat="1" applyFont="1" applyBorder="1">
      <alignment/>
      <protection/>
    </xf>
    <xf numFmtId="43" fontId="16" fillId="41" borderId="0" xfId="0" applyNumberFormat="1" applyFont="1" applyFill="1" applyAlignment="1">
      <alignment/>
    </xf>
    <xf numFmtId="43" fontId="2" fillId="34" borderId="0" xfId="42" applyFont="1" applyFill="1" applyBorder="1" applyAlignment="1">
      <alignment/>
    </xf>
    <xf numFmtId="0" fontId="2" fillId="34" borderId="0" xfId="0" applyFont="1" applyFill="1" applyBorder="1" applyAlignment="1">
      <alignment/>
    </xf>
    <xf numFmtId="17" fontId="0" fillId="0" borderId="0" xfId="0" applyNumberFormat="1" applyAlignment="1">
      <alignment/>
    </xf>
    <xf numFmtId="0" fontId="95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6" fontId="3" fillId="34" borderId="10" xfId="58" applyNumberFormat="1" applyFont="1" applyFill="1" applyBorder="1">
      <alignment/>
      <protection/>
    </xf>
    <xf numFmtId="14" fontId="3" fillId="0" borderId="0" xfId="0" applyNumberFormat="1" applyFont="1" applyFill="1" applyAlignment="1">
      <alignment horizontal="left"/>
    </xf>
    <xf numFmtId="4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5" fontId="84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3" fontId="0" fillId="0" borderId="10" xfId="0" applyNumberFormat="1" applyBorder="1" applyAlignment="1">
      <alignment horizontal="left"/>
    </xf>
    <xf numFmtId="43" fontId="61" fillId="0" borderId="0" xfId="42" applyFont="1" applyFill="1" applyBorder="1" applyAlignment="1">
      <alignment/>
    </xf>
    <xf numFmtId="43" fontId="96" fillId="0" borderId="0" xfId="42" applyFont="1" applyFill="1" applyBorder="1" applyAlignment="1">
      <alignment/>
    </xf>
    <xf numFmtId="0" fontId="97" fillId="0" borderId="0" xfId="0" applyFont="1" applyAlignment="1">
      <alignment/>
    </xf>
    <xf numFmtId="0" fontId="5" fillId="0" borderId="0" xfId="58" applyFont="1" applyFill="1">
      <alignment/>
      <protection/>
    </xf>
    <xf numFmtId="43" fontId="3" fillId="0" borderId="10" xfId="44" applyFont="1" applyFill="1" applyBorder="1" applyAlignment="1">
      <alignment horizontal="center"/>
    </xf>
    <xf numFmtId="43" fontId="84" fillId="0" borderId="10" xfId="0" applyNumberFormat="1" applyFont="1" applyBorder="1" applyAlignment="1">
      <alignment/>
    </xf>
    <xf numFmtId="0" fontId="0" fillId="9" borderId="0" xfId="0" applyFill="1" applyBorder="1" applyAlignment="1">
      <alignment/>
    </xf>
    <xf numFmtId="2" fontId="3" fillId="9" borderId="13" xfId="0" applyNumberFormat="1" applyFont="1" applyFill="1" applyBorder="1" applyAlignment="1">
      <alignment/>
    </xf>
    <xf numFmtId="174" fontId="0" fillId="9" borderId="0" xfId="0" applyNumberFormat="1" applyFill="1" applyBorder="1" applyAlignment="1">
      <alignment/>
    </xf>
    <xf numFmtId="2" fontId="3" fillId="9" borderId="10" xfId="0" applyNumberFormat="1" applyFont="1" applyFill="1" applyBorder="1" applyAlignment="1">
      <alignment/>
    </xf>
    <xf numFmtId="0" fontId="0" fillId="9" borderId="0" xfId="0" applyFill="1" applyAlignment="1">
      <alignment/>
    </xf>
    <xf numFmtId="174" fontId="5" fillId="9" borderId="0" xfId="0" applyNumberFormat="1" applyFont="1" applyFill="1" applyBorder="1" applyAlignment="1">
      <alignment/>
    </xf>
    <xf numFmtId="2" fontId="3" fillId="9" borderId="16" xfId="0" applyNumberFormat="1" applyFont="1" applyFill="1" applyBorder="1" applyAlignment="1">
      <alignment/>
    </xf>
    <xf numFmtId="0" fontId="0" fillId="9" borderId="0" xfId="0" applyFont="1" applyFill="1" applyBorder="1" applyAlignment="1">
      <alignment/>
    </xf>
    <xf numFmtId="2" fontId="0" fillId="9" borderId="0" xfId="0" applyNumberFormat="1" applyFill="1" applyBorder="1" applyAlignment="1">
      <alignment/>
    </xf>
    <xf numFmtId="2" fontId="3" fillId="9" borderId="0" xfId="0" applyNumberFormat="1" applyFont="1" applyFill="1" applyBorder="1" applyAlignment="1">
      <alignment/>
    </xf>
    <xf numFmtId="2" fontId="2" fillId="9" borderId="0" xfId="0" applyNumberFormat="1" applyFont="1" applyFill="1" applyBorder="1" applyAlignment="1">
      <alignment/>
    </xf>
    <xf numFmtId="2" fontId="27" fillId="9" borderId="0" xfId="0" applyNumberFormat="1" applyFont="1" applyFill="1" applyBorder="1" applyAlignment="1">
      <alignment/>
    </xf>
    <xf numFmtId="43" fontId="0" fillId="9" borderId="0" xfId="0" applyNumberFormat="1" applyFill="1" applyBorder="1" applyAlignment="1">
      <alignment/>
    </xf>
    <xf numFmtId="43" fontId="0" fillId="34" borderId="0" xfId="42" applyFont="1" applyFill="1" applyAlignment="1">
      <alignment/>
    </xf>
    <xf numFmtId="43" fontId="0" fillId="25" borderId="10" xfId="0" applyNumberFormat="1" applyFont="1" applyFill="1" applyBorder="1" applyAlignment="1">
      <alignment horizontal="left"/>
    </xf>
    <xf numFmtId="0" fontId="0" fillId="25" borderId="10" xfId="0" applyFill="1" applyBorder="1" applyAlignment="1">
      <alignment/>
    </xf>
    <xf numFmtId="43" fontId="0" fillId="34" borderId="10" xfId="0" applyNumberFormat="1" applyFill="1" applyBorder="1" applyAlignment="1">
      <alignment/>
    </xf>
    <xf numFmtId="43" fontId="0" fillId="34" borderId="10" xfId="42" applyFont="1" applyFill="1" applyBorder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84" fillId="0" borderId="10" xfId="0" applyFont="1" applyBorder="1" applyAlignment="1">
      <alignment horizontal="center"/>
    </xf>
    <xf numFmtId="43" fontId="5" fillId="0" borderId="0" xfId="0" applyNumberFormat="1" applyFont="1" applyAlignment="1">
      <alignment/>
    </xf>
    <xf numFmtId="0" fontId="0" fillId="37" borderId="10" xfId="0" applyFill="1" applyBorder="1" applyAlignment="1">
      <alignment/>
    </xf>
    <xf numFmtId="43" fontId="0" fillId="37" borderId="10" xfId="42" applyFont="1" applyFill="1" applyBorder="1" applyAlignment="1">
      <alignment/>
    </xf>
    <xf numFmtId="43" fontId="84" fillId="37" borderId="10" xfId="42" applyFont="1" applyFill="1" applyBorder="1" applyAlignment="1">
      <alignment/>
    </xf>
    <xf numFmtId="43" fontId="84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43" fontId="0" fillId="37" borderId="10" xfId="42" applyFont="1" applyFill="1" applyBorder="1" applyAlignment="1">
      <alignment/>
    </xf>
    <xf numFmtId="168" fontId="15" fillId="19" borderId="0" xfId="0" applyNumberFormat="1" applyFont="1" applyFill="1" applyAlignment="1">
      <alignment horizontal="left"/>
    </xf>
    <xf numFmtId="2" fontId="6" fillId="13" borderId="0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2" fontId="3" fillId="15" borderId="0" xfId="0" applyNumberFormat="1" applyFont="1" applyFill="1" applyBorder="1" applyAlignment="1">
      <alignment/>
    </xf>
    <xf numFmtId="2" fontId="3" fillId="18" borderId="0" xfId="0" applyNumberFormat="1" applyFont="1" applyFill="1" applyAlignment="1">
      <alignment/>
    </xf>
    <xf numFmtId="0" fontId="6" fillId="42" borderId="14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3" fillId="42" borderId="0" xfId="0" applyFont="1" applyFill="1" applyAlignment="1">
      <alignment/>
    </xf>
    <xf numFmtId="0" fontId="0" fillId="0" borderId="15" xfId="0" applyFont="1" applyFill="1" applyBorder="1" applyAlignment="1">
      <alignment/>
    </xf>
    <xf numFmtId="2" fontId="19" fillId="9" borderId="0" xfId="0" applyNumberFormat="1" applyFont="1" applyFill="1" applyBorder="1" applyAlignment="1">
      <alignment/>
    </xf>
    <xf numFmtId="2" fontId="19" fillId="19" borderId="0" xfId="0" applyNumberFormat="1" applyFont="1" applyFill="1" applyBorder="1" applyAlignment="1">
      <alignment/>
    </xf>
    <xf numFmtId="0" fontId="5" fillId="15" borderId="0" xfId="0" applyFont="1" applyFill="1" applyAlignment="1">
      <alignment/>
    </xf>
    <xf numFmtId="2" fontId="19" fillId="0" borderId="0" xfId="0" applyNumberFormat="1" applyFont="1" applyBorder="1" applyAlignment="1">
      <alignment/>
    </xf>
    <xf numFmtId="16" fontId="0" fillId="34" borderId="0" xfId="0" applyNumberFormat="1" applyFont="1" applyFill="1" applyAlignment="1">
      <alignment/>
    </xf>
    <xf numFmtId="2" fontId="0" fillId="0" borderId="10" xfId="0" applyNumberFormat="1" applyFill="1" applyBorder="1" applyAlignment="1">
      <alignment/>
    </xf>
    <xf numFmtId="43" fontId="0" fillId="34" borderId="0" xfId="42" applyFont="1" applyFill="1" applyAlignment="1">
      <alignment/>
    </xf>
    <xf numFmtId="14" fontId="0" fillId="34" borderId="0" xfId="0" applyNumberFormat="1" applyFill="1" applyAlignment="1">
      <alignment/>
    </xf>
    <xf numFmtId="43" fontId="83" fillId="0" borderId="0" xfId="42" applyFont="1" applyAlignment="1">
      <alignment/>
    </xf>
    <xf numFmtId="0" fontId="0" fillId="19" borderId="0" xfId="0" applyFill="1" applyBorder="1" applyAlignment="1">
      <alignment/>
    </xf>
    <xf numFmtId="17" fontId="0" fillId="0" borderId="10" xfId="58" applyNumberFormat="1" applyFont="1" applyBorder="1">
      <alignment/>
      <protection/>
    </xf>
    <xf numFmtId="43" fontId="0" fillId="0" borderId="10" xfId="58" applyNumberFormat="1" applyFont="1" applyFill="1" applyBorder="1">
      <alignment/>
      <protection/>
    </xf>
    <xf numFmtId="43" fontId="0" fillId="0" borderId="10" xfId="42" applyFont="1" applyBorder="1" applyAlignment="1">
      <alignment/>
    </xf>
    <xf numFmtId="43" fontId="5" fillId="7" borderId="10" xfId="0" applyNumberFormat="1" applyFont="1" applyFill="1" applyBorder="1" applyAlignment="1">
      <alignment/>
    </xf>
    <xf numFmtId="43" fontId="84" fillId="0" borderId="10" xfId="42" applyFont="1" applyBorder="1" applyAlignment="1">
      <alignment/>
    </xf>
    <xf numFmtId="43" fontId="75" fillId="0" borderId="10" xfId="54" applyNumberFormat="1" applyFill="1" applyBorder="1" applyAlignment="1" applyProtection="1">
      <alignment/>
      <protection/>
    </xf>
    <xf numFmtId="43" fontId="0" fillId="0" borderId="10" xfId="58" applyNumberFormat="1" applyFont="1" applyFill="1" applyBorder="1">
      <alignment/>
      <protection/>
    </xf>
    <xf numFmtId="168" fontId="91" fillId="9" borderId="0" xfId="0" applyNumberFormat="1" applyFont="1" applyFill="1" applyBorder="1" applyAlignment="1">
      <alignment horizontal="center"/>
    </xf>
    <xf numFmtId="43" fontId="0" fillId="9" borderId="10" xfId="42" applyFont="1" applyFill="1" applyBorder="1" applyAlignment="1">
      <alignment/>
    </xf>
    <xf numFmtId="0" fontId="4" fillId="9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2" fontId="0" fillId="9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19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fwatw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wfwatw@gmail.com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aricpolicy.com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155@/4" TargetMode="Externa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fwatw@g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wfwatw@gmail.co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nins.com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zoomScalePageLayoutView="0" workbookViewId="0" topLeftCell="A4">
      <selection activeCell="N11" sqref="N11"/>
    </sheetView>
  </sheetViews>
  <sheetFormatPr defaultColWidth="9.140625" defaultRowHeight="12.75"/>
  <cols>
    <col min="1" max="1" width="14.57421875" style="0" bestFit="1" customWidth="1"/>
    <col min="2" max="2" width="13.57421875" style="0" bestFit="1" customWidth="1"/>
    <col min="3" max="3" width="12.7109375" style="0" bestFit="1" customWidth="1"/>
    <col min="4" max="4" width="11.7109375" style="0" bestFit="1" customWidth="1"/>
    <col min="5" max="5" width="19.8515625" style="0" bestFit="1" customWidth="1"/>
    <col min="6" max="6" width="11.57421875" style="0" bestFit="1" customWidth="1"/>
    <col min="7" max="7" width="12.8515625" style="0" bestFit="1" customWidth="1"/>
    <col min="8" max="8" width="14.8515625" style="0" bestFit="1" customWidth="1"/>
    <col min="9" max="9" width="10.8515625" style="0" bestFit="1" customWidth="1"/>
    <col min="10" max="10" width="11.57421875" style="0" bestFit="1" customWidth="1"/>
    <col min="11" max="11" width="9.8515625" style="0" customWidth="1"/>
    <col min="12" max="12" width="9.57421875" style="0" bestFit="1" customWidth="1"/>
    <col min="13" max="13" width="19.8515625" style="0" bestFit="1" customWidth="1"/>
    <col min="14" max="14" width="18.57421875" style="0" customWidth="1"/>
    <col min="15" max="15" width="12.8515625" style="0" customWidth="1"/>
    <col min="16" max="16" width="9.28125" style="0" bestFit="1" customWidth="1"/>
    <col min="17" max="18" width="12.8515625" style="0" bestFit="1" customWidth="1"/>
    <col min="19" max="19" width="11.28125" style="0" bestFit="1" customWidth="1"/>
    <col min="21" max="21" width="10.28125" style="0" bestFit="1" customWidth="1"/>
    <col min="23" max="23" width="10.28125" style="0" bestFit="1" customWidth="1"/>
  </cols>
  <sheetData>
    <row r="1" spans="1:9" ht="15">
      <c r="A1" s="12">
        <v>43101</v>
      </c>
      <c r="B1" s="5"/>
      <c r="C1" s="5"/>
      <c r="D1" s="5"/>
      <c r="E1" s="5"/>
      <c r="G1" s="5"/>
      <c r="H1" s="43"/>
      <c r="I1" s="90"/>
    </row>
    <row r="2" spans="1:23" ht="15">
      <c r="A2" s="5" t="s">
        <v>0</v>
      </c>
      <c r="B2" s="5"/>
      <c r="C2" s="5"/>
      <c r="D2" s="5"/>
      <c r="E2" s="5"/>
      <c r="F2" s="43"/>
      <c r="G2" s="4">
        <f>A16</f>
        <v>9139</v>
      </c>
      <c r="L2" s="327"/>
      <c r="U2" s="126"/>
      <c r="V2" s="126"/>
      <c r="W2" s="126"/>
    </row>
    <row r="3" spans="5:23" ht="15">
      <c r="E3" s="5"/>
      <c r="G3" s="23"/>
      <c r="L3" s="51"/>
      <c r="U3" s="126"/>
      <c r="V3" s="126"/>
      <c r="W3" s="126"/>
    </row>
    <row r="4" spans="1:23" ht="15">
      <c r="A4" s="231">
        <v>2271</v>
      </c>
      <c r="B4" t="s">
        <v>2</v>
      </c>
      <c r="D4" s="33"/>
      <c r="E4" s="172" t="s">
        <v>3</v>
      </c>
      <c r="F4" s="206"/>
      <c r="G4" s="4"/>
      <c r="L4" s="144"/>
      <c r="U4" s="125"/>
      <c r="V4" s="125"/>
      <c r="W4" s="125"/>
    </row>
    <row r="5" spans="1:23" ht="15.75">
      <c r="A5" s="23"/>
      <c r="D5" s="33"/>
      <c r="E5" s="174"/>
      <c r="F5" s="196"/>
      <c r="G5" s="4">
        <f>G2-F5</f>
        <v>9139</v>
      </c>
      <c r="I5" s="126"/>
      <c r="J5" s="321"/>
      <c r="K5" s="193"/>
      <c r="L5" s="125"/>
      <c r="M5" s="126"/>
      <c r="N5" s="126"/>
      <c r="O5" s="51"/>
      <c r="U5" s="125"/>
      <c r="V5" s="125"/>
      <c r="W5" s="125"/>
    </row>
    <row r="6" spans="1:23" ht="15.75">
      <c r="A6" s="340">
        <v>296</v>
      </c>
      <c r="B6" t="s">
        <v>4</v>
      </c>
      <c r="D6" s="232">
        <v>43102</v>
      </c>
      <c r="E6" s="174" t="s">
        <v>5</v>
      </c>
      <c r="F6" s="210">
        <v>1174</v>
      </c>
      <c r="G6" s="4">
        <f>G5-F6</f>
        <v>7965</v>
      </c>
      <c r="H6" s="33" t="s">
        <v>6</v>
      </c>
      <c r="I6" s="126"/>
      <c r="J6" s="175"/>
      <c r="K6" s="193"/>
      <c r="L6" s="125"/>
      <c r="M6" s="189"/>
      <c r="N6" s="297" t="s">
        <v>7</v>
      </c>
      <c r="O6" s="298"/>
      <c r="P6" s="299">
        <v>100</v>
      </c>
      <c r="U6" s="125"/>
      <c r="V6" s="125"/>
      <c r="W6" s="125"/>
    </row>
    <row r="7" spans="1:23" ht="15.75">
      <c r="A7" s="341">
        <v>1375</v>
      </c>
      <c r="B7" s="5" t="s">
        <v>9</v>
      </c>
      <c r="C7" s="5"/>
      <c r="D7" s="232">
        <v>43112</v>
      </c>
      <c r="E7" s="174" t="s">
        <v>10</v>
      </c>
      <c r="F7" s="210">
        <v>230.98</v>
      </c>
      <c r="G7" s="4">
        <f aca="true" t="shared" si="0" ref="G7:G25">G6-F7</f>
        <v>7734.02</v>
      </c>
      <c r="H7" t="s">
        <v>190</v>
      </c>
      <c r="I7" s="126"/>
      <c r="J7" s="177"/>
      <c r="K7" s="265"/>
      <c r="L7" s="123"/>
      <c r="M7" s="189"/>
      <c r="N7" s="193"/>
      <c r="O7" s="193"/>
      <c r="U7" s="125"/>
      <c r="V7" s="125"/>
      <c r="W7" s="125"/>
    </row>
    <row r="8" spans="1:23" ht="15.75">
      <c r="A8" s="342">
        <v>296</v>
      </c>
      <c r="B8" s="5" t="s">
        <v>11</v>
      </c>
      <c r="C8" s="5"/>
      <c r="D8" s="232">
        <v>43129</v>
      </c>
      <c r="E8" s="174" t="s">
        <v>12</v>
      </c>
      <c r="F8" s="178">
        <v>130</v>
      </c>
      <c r="G8" s="4">
        <f t="shared" si="0"/>
        <v>7604.02</v>
      </c>
      <c r="H8" s="33" t="s">
        <v>6</v>
      </c>
      <c r="I8" s="126"/>
      <c r="J8" s="178"/>
      <c r="K8" s="193"/>
      <c r="L8" s="123"/>
      <c r="M8" s="189"/>
      <c r="N8" s="193"/>
      <c r="O8" s="265"/>
      <c r="U8" s="125"/>
      <c r="V8" s="125"/>
      <c r="W8" s="125"/>
    </row>
    <row r="9" spans="1:23" ht="15.75">
      <c r="A9" s="343">
        <v>1096</v>
      </c>
      <c r="B9" s="5" t="s">
        <v>13</v>
      </c>
      <c r="C9" s="128" t="s">
        <v>14</v>
      </c>
      <c r="D9" s="22">
        <v>43109</v>
      </c>
      <c r="E9" s="174" t="s">
        <v>15</v>
      </c>
      <c r="F9" s="210">
        <v>225.21</v>
      </c>
      <c r="G9" s="4">
        <f t="shared" si="0"/>
        <v>7378.81</v>
      </c>
      <c r="H9" s="22" t="s">
        <v>189</v>
      </c>
      <c r="I9" s="126"/>
      <c r="J9" s="177"/>
      <c r="K9" s="265"/>
      <c r="L9" s="123"/>
      <c r="M9" s="189"/>
      <c r="N9" s="193"/>
      <c r="O9" s="265"/>
      <c r="U9" s="153"/>
      <c r="V9" s="126"/>
      <c r="W9" s="126"/>
    </row>
    <row r="10" spans="1:23" ht="15.75">
      <c r="A10" s="342">
        <v>2218</v>
      </c>
      <c r="B10" s="5" t="s">
        <v>16</v>
      </c>
      <c r="C10" s="5"/>
      <c r="D10" s="22"/>
      <c r="E10" s="174" t="s">
        <v>17</v>
      </c>
      <c r="F10" s="178"/>
      <c r="G10" s="4">
        <f t="shared" si="0"/>
        <v>7378.81</v>
      </c>
      <c r="I10" s="126"/>
      <c r="J10" s="178"/>
      <c r="K10" s="193"/>
      <c r="L10" s="123"/>
      <c r="M10" s="189"/>
      <c r="N10" s="193"/>
      <c r="O10" s="265"/>
      <c r="U10" s="125"/>
      <c r="V10" s="126"/>
      <c r="W10" s="126"/>
    </row>
    <row r="11" spans="1:21" ht="18">
      <c r="A11" s="341">
        <v>587</v>
      </c>
      <c r="B11" s="5" t="s">
        <v>18</v>
      </c>
      <c r="C11" s="287"/>
      <c r="D11" s="22">
        <v>43113</v>
      </c>
      <c r="E11" s="174" t="s">
        <v>19</v>
      </c>
      <c r="F11" s="187">
        <v>150</v>
      </c>
      <c r="G11" s="4">
        <f t="shared" si="0"/>
        <v>7228.81</v>
      </c>
      <c r="H11" t="s">
        <v>190</v>
      </c>
      <c r="I11" s="126"/>
      <c r="J11" s="178"/>
      <c r="K11" s="193"/>
      <c r="L11" s="123"/>
      <c r="M11" s="189"/>
      <c r="N11" s="218" t="s">
        <v>365</v>
      </c>
      <c r="O11" s="187"/>
      <c r="P11" s="344">
        <v>162.5</v>
      </c>
      <c r="Q11" s="144" t="s">
        <v>8</v>
      </c>
      <c r="S11" s="23"/>
      <c r="U11" s="13"/>
    </row>
    <row r="12" spans="1:18" ht="16.5" thickBot="1">
      <c r="A12" s="234">
        <v>1000</v>
      </c>
      <c r="B12" s="5" t="s">
        <v>203</v>
      </c>
      <c r="C12" s="446">
        <v>43109</v>
      </c>
      <c r="D12" s="22">
        <v>43112</v>
      </c>
      <c r="E12" s="174" t="s">
        <v>21</v>
      </c>
      <c r="F12" s="177">
        <v>22.1</v>
      </c>
      <c r="G12" s="4">
        <f t="shared" si="0"/>
        <v>7206.71</v>
      </c>
      <c r="H12" t="s">
        <v>176</v>
      </c>
      <c r="I12" s="126"/>
      <c r="J12" s="177"/>
      <c r="K12" s="265"/>
      <c r="L12" s="193"/>
      <c r="M12" s="189"/>
      <c r="N12" s="220" t="s">
        <v>22</v>
      </c>
      <c r="O12" s="178" t="s">
        <v>23</v>
      </c>
      <c r="P12" s="27"/>
      <c r="Q12" s="51" t="s">
        <v>197</v>
      </c>
      <c r="R12" s="5">
        <v>251082194</v>
      </c>
    </row>
    <row r="13" spans="1:19" ht="15.75">
      <c r="A13" s="181" t="s">
        <v>175</v>
      </c>
      <c r="C13" s="50"/>
      <c r="D13" s="22">
        <v>43125</v>
      </c>
      <c r="E13" s="174" t="s">
        <v>24</v>
      </c>
      <c r="F13" s="177">
        <v>27</v>
      </c>
      <c r="G13" s="4">
        <f t="shared" si="0"/>
        <v>7179.71</v>
      </c>
      <c r="H13" t="s">
        <v>208</v>
      </c>
      <c r="I13" s="126"/>
      <c r="J13" s="177"/>
      <c r="K13" s="265"/>
      <c r="L13" s="193"/>
      <c r="M13" s="189"/>
      <c r="N13" s="220" t="s">
        <v>26</v>
      </c>
      <c r="O13" s="89"/>
      <c r="P13" s="27"/>
      <c r="Q13" s="51"/>
      <c r="S13" s="13"/>
    </row>
    <row r="14" spans="1:24" ht="16.5" thickBot="1">
      <c r="A14" s="183" t="s">
        <v>175</v>
      </c>
      <c r="D14" s="22">
        <v>43105</v>
      </c>
      <c r="E14" s="174" t="s">
        <v>28</v>
      </c>
      <c r="F14" s="210">
        <v>79</v>
      </c>
      <c r="G14" s="4">
        <f t="shared" si="0"/>
        <v>7100.71</v>
      </c>
      <c r="H14" s="33" t="s">
        <v>6</v>
      </c>
      <c r="I14" s="126"/>
      <c r="J14" s="175"/>
      <c r="K14" s="193"/>
      <c r="L14" s="193"/>
      <c r="M14" s="189"/>
      <c r="N14" s="221" t="s">
        <v>29</v>
      </c>
      <c r="O14" s="89"/>
      <c r="P14" s="26"/>
      <c r="W14" s="51"/>
      <c r="X14" s="51"/>
    </row>
    <row r="15" spans="1:24" ht="15.75">
      <c r="A15" s="106"/>
      <c r="B15" s="50"/>
      <c r="C15" s="50"/>
      <c r="D15" s="22">
        <v>43116</v>
      </c>
      <c r="E15" s="174" t="s">
        <v>30</v>
      </c>
      <c r="F15" s="187">
        <v>1663</v>
      </c>
      <c r="G15" s="4">
        <f t="shared" si="0"/>
        <v>5437.71</v>
      </c>
      <c r="H15" t="s">
        <v>190</v>
      </c>
      <c r="I15" s="126"/>
      <c r="J15" s="178"/>
      <c r="K15" s="193"/>
      <c r="L15" s="193"/>
      <c r="M15" s="189"/>
      <c r="N15" s="220" t="s">
        <v>31</v>
      </c>
      <c r="O15" s="178"/>
      <c r="P15" s="26"/>
      <c r="W15" s="144"/>
      <c r="X15" s="51"/>
    </row>
    <row r="16" spans="1:24" ht="15.75">
      <c r="A16" s="72">
        <f>SUM(A4:A15)</f>
        <v>9139</v>
      </c>
      <c r="D16" s="22">
        <v>43122</v>
      </c>
      <c r="E16" s="186" t="s">
        <v>32</v>
      </c>
      <c r="F16" s="178">
        <v>2200</v>
      </c>
      <c r="G16" s="4">
        <f t="shared" si="0"/>
        <v>3237.71</v>
      </c>
      <c r="H16" t="s">
        <v>207</v>
      </c>
      <c r="I16" s="126" t="s">
        <v>14</v>
      </c>
      <c r="J16" s="178"/>
      <c r="K16" s="193"/>
      <c r="L16" s="193"/>
      <c r="M16" s="189"/>
      <c r="N16" s="193"/>
      <c r="O16" s="193"/>
      <c r="Q16" s="51"/>
      <c r="R16" s="51"/>
      <c r="S16" s="51"/>
      <c r="T16" s="51"/>
      <c r="W16" s="144"/>
      <c r="X16" s="51"/>
    </row>
    <row r="17" spans="1:24" ht="15.75">
      <c r="A17" s="23"/>
      <c r="D17" s="22">
        <v>43108</v>
      </c>
      <c r="E17" s="174" t="s">
        <v>33</v>
      </c>
      <c r="F17" s="187">
        <v>500</v>
      </c>
      <c r="G17" s="4">
        <f t="shared" si="0"/>
        <v>2737.71</v>
      </c>
      <c r="H17" t="s">
        <v>191</v>
      </c>
      <c r="I17" s="152"/>
      <c r="J17" s="187"/>
      <c r="K17" s="193"/>
      <c r="L17" s="193"/>
      <c r="M17" s="189"/>
      <c r="N17" s="322"/>
      <c r="O17" s="322"/>
      <c r="P17" s="194"/>
      <c r="Q17" s="59"/>
      <c r="R17" s="326"/>
      <c r="S17" s="144"/>
      <c r="T17" s="51"/>
      <c r="W17" s="151"/>
      <c r="X17" s="59"/>
    </row>
    <row r="18" spans="1:24" ht="15.75">
      <c r="A18" s="23"/>
      <c r="D18" s="22">
        <v>43123</v>
      </c>
      <c r="E18" s="174" t="s">
        <v>34</v>
      </c>
      <c r="F18" s="188">
        <v>425</v>
      </c>
      <c r="G18" s="4">
        <f t="shared" si="0"/>
        <v>2312.71</v>
      </c>
      <c r="H18" s="232" t="s">
        <v>176</v>
      </c>
      <c r="I18" s="126"/>
      <c r="J18" s="188"/>
      <c r="K18" s="193"/>
      <c r="L18" s="193"/>
      <c r="M18" s="191"/>
      <c r="N18" s="193"/>
      <c r="O18" s="193"/>
      <c r="Q18" s="59"/>
      <c r="R18" s="51"/>
      <c r="S18" s="144"/>
      <c r="T18" s="327"/>
      <c r="W18" s="153"/>
      <c r="X18" s="126"/>
    </row>
    <row r="19" spans="4:20" ht="15.75">
      <c r="D19" s="22">
        <v>43105</v>
      </c>
      <c r="E19" s="189" t="s">
        <v>35</v>
      </c>
      <c r="F19" s="210">
        <v>189</v>
      </c>
      <c r="G19" s="4">
        <f t="shared" si="0"/>
        <v>2123.71</v>
      </c>
      <c r="H19" s="33" t="s">
        <v>6</v>
      </c>
      <c r="I19" s="126"/>
      <c r="J19" s="175"/>
      <c r="K19" s="193"/>
      <c r="L19" s="193"/>
      <c r="M19" s="189"/>
      <c r="N19" s="193" t="s">
        <v>36</v>
      </c>
      <c r="O19" s="193"/>
      <c r="P19" s="132"/>
      <c r="Q19" s="59"/>
      <c r="R19" s="51"/>
      <c r="S19" s="144"/>
      <c r="T19" s="327"/>
    </row>
    <row r="20" spans="2:20" ht="15.75">
      <c r="B20" s="43"/>
      <c r="D20" s="22"/>
      <c r="E20" s="191" t="s">
        <v>37</v>
      </c>
      <c r="F20" s="175"/>
      <c r="G20" s="4">
        <f t="shared" si="0"/>
        <v>2123.71</v>
      </c>
      <c r="I20" s="126">
        <v>100</v>
      </c>
      <c r="J20" s="175"/>
      <c r="K20" s="193"/>
      <c r="L20" s="193"/>
      <c r="M20" s="189"/>
      <c r="N20" s="193"/>
      <c r="O20" s="193"/>
      <c r="Q20" s="59"/>
      <c r="R20" s="51"/>
      <c r="S20" s="144"/>
      <c r="T20" s="51"/>
    </row>
    <row r="21" spans="1:15" ht="15.75">
      <c r="A21" s="132"/>
      <c r="B21" s="270"/>
      <c r="C21" s="270"/>
      <c r="D21" s="270"/>
      <c r="E21" s="189" t="s">
        <v>38</v>
      </c>
      <c r="F21" s="175">
        <f>K48</f>
        <v>187.29000000000005</v>
      </c>
      <c r="G21" s="4">
        <f t="shared" si="0"/>
        <v>1936.42</v>
      </c>
      <c r="I21" s="152"/>
      <c r="J21" s="175">
        <f>O48</f>
        <v>0</v>
      </c>
      <c r="K21" s="193"/>
      <c r="L21" s="193"/>
      <c r="M21" s="189"/>
      <c r="N21" s="193"/>
      <c r="O21" s="193"/>
    </row>
    <row r="22" spans="1:17" ht="15.75">
      <c r="A22" s="98"/>
      <c r="B22" s="43"/>
      <c r="D22" s="232">
        <v>43108</v>
      </c>
      <c r="E22" s="50" t="s">
        <v>193</v>
      </c>
      <c r="F22" s="210">
        <v>200</v>
      </c>
      <c r="G22" s="4">
        <f t="shared" si="0"/>
        <v>1736.42</v>
      </c>
      <c r="H22" s="95" t="s">
        <v>201</v>
      </c>
      <c r="I22" s="126"/>
      <c r="J22" s="177"/>
      <c r="K22" s="265"/>
      <c r="L22" s="193"/>
      <c r="M22" s="189"/>
      <c r="N22" s="241"/>
      <c r="O22" s="241"/>
      <c r="P22" s="241"/>
      <c r="Q22" s="241"/>
    </row>
    <row r="23" spans="2:21" ht="15.75">
      <c r="B23" s="43"/>
      <c r="D23" s="232">
        <v>43104</v>
      </c>
      <c r="E23" s="444" t="s">
        <v>202</v>
      </c>
      <c r="F23" s="322">
        <v>300</v>
      </c>
      <c r="G23" s="4">
        <f t="shared" si="0"/>
        <v>1436.42</v>
      </c>
      <c r="H23" t="s">
        <v>201</v>
      </c>
      <c r="I23" s="126"/>
      <c r="J23" s="193"/>
      <c r="K23" s="193"/>
      <c r="L23" s="193"/>
      <c r="M23" s="191"/>
      <c r="N23" s="241"/>
      <c r="O23" s="241"/>
      <c r="P23" s="241"/>
      <c r="Q23" s="241"/>
      <c r="U23" s="23"/>
    </row>
    <row r="24" spans="2:22" ht="15">
      <c r="B24" t="s">
        <v>39</v>
      </c>
      <c r="D24" s="160">
        <v>43111</v>
      </c>
      <c r="E24" s="449" t="s">
        <v>206</v>
      </c>
      <c r="F24" s="60">
        <v>162.5</v>
      </c>
      <c r="G24" s="4">
        <f t="shared" si="0"/>
        <v>1273.92</v>
      </c>
      <c r="H24" s="193" t="s">
        <v>201</v>
      </c>
      <c r="I24" s="193"/>
      <c r="J24" s="123">
        <f>SUM(J6:J23)</f>
        <v>0</v>
      </c>
      <c r="K24" s="126"/>
      <c r="L24" s="193"/>
      <c r="M24" s="50"/>
      <c r="N24" s="193"/>
      <c r="O24" s="265"/>
      <c r="U24" s="23"/>
      <c r="V24" s="33"/>
    </row>
    <row r="25" spans="4:22" ht="15">
      <c r="D25" s="160">
        <v>43116</v>
      </c>
      <c r="E25" s="50" t="s">
        <v>221</v>
      </c>
      <c r="F25" s="60">
        <v>500</v>
      </c>
      <c r="G25" s="4">
        <f t="shared" si="0"/>
        <v>773.9200000000001</v>
      </c>
      <c r="H25" s="193"/>
      <c r="I25" s="193"/>
      <c r="J25" s="123"/>
      <c r="K25" s="126"/>
      <c r="L25" s="193"/>
      <c r="M25" s="50"/>
      <c r="N25" s="193"/>
      <c r="O25" s="265"/>
      <c r="U25" s="23"/>
      <c r="V25" s="33"/>
    </row>
    <row r="26" spans="4:22" ht="15.75" thickBot="1">
      <c r="D26" s="160"/>
      <c r="E26" s="50"/>
      <c r="F26" s="123"/>
      <c r="G26" s="4"/>
      <c r="H26" s="193"/>
      <c r="I26" s="193"/>
      <c r="J26" s="123"/>
      <c r="K26" s="126"/>
      <c r="L26" s="193"/>
      <c r="M26" s="50"/>
      <c r="N26" s="193"/>
      <c r="O26" s="265"/>
      <c r="U26" s="23"/>
      <c r="V26" s="33"/>
    </row>
    <row r="27" spans="4:17" ht="18.75" thickBot="1">
      <c r="D27" s="160"/>
      <c r="E27" s="33"/>
      <c r="F27" s="123"/>
      <c r="G27" s="4"/>
      <c r="H27" s="90">
        <v>3800</v>
      </c>
      <c r="I27" s="193"/>
      <c r="J27" s="123"/>
      <c r="K27" s="126"/>
      <c r="L27" s="193"/>
      <c r="M27" s="271"/>
      <c r="N27" s="323" t="s">
        <v>40</v>
      </c>
      <c r="O27" s="447">
        <v>2030</v>
      </c>
      <c r="P27" s="324">
        <v>41649</v>
      </c>
      <c r="Q27" s="328" t="s">
        <v>8</v>
      </c>
    </row>
    <row r="28" spans="1:15" ht="15">
      <c r="A28" s="5"/>
      <c r="B28" s="5"/>
      <c r="C28" s="5"/>
      <c r="D28" s="190"/>
      <c r="E28" s="5"/>
      <c r="F28" s="4"/>
      <c r="G28" s="4"/>
      <c r="H28" s="193">
        <f>H27-1008-1098</f>
        <v>1694</v>
      </c>
      <c r="I28" s="193"/>
      <c r="J28" s="4"/>
      <c r="K28" s="114" t="s">
        <v>41</v>
      </c>
      <c r="L28" s="178"/>
      <c r="M28" s="50"/>
      <c r="N28" s="50"/>
      <c r="O28" s="151"/>
    </row>
    <row r="29" spans="1:15" ht="15">
      <c r="A29" s="5"/>
      <c r="B29" s="5"/>
      <c r="C29" s="5"/>
      <c r="D29" s="190"/>
      <c r="E29" s="5"/>
      <c r="F29" s="4"/>
      <c r="G29" s="4"/>
      <c r="H29" s="193"/>
      <c r="I29" s="193"/>
      <c r="J29" s="4"/>
      <c r="K29" s="219">
        <v>8.16</v>
      </c>
      <c r="L29" s="178" t="s">
        <v>47</v>
      </c>
      <c r="M29" s="50"/>
      <c r="N29" s="50"/>
      <c r="O29" s="151"/>
    </row>
    <row r="30" spans="4:12" ht="15">
      <c r="D30" s="22"/>
      <c r="E30" s="5"/>
      <c r="F30" s="4"/>
      <c r="G30" s="4"/>
      <c r="H30" s="7">
        <f>H28-G25</f>
        <v>920.0799999999999</v>
      </c>
      <c r="I30" s="5"/>
      <c r="J30" s="4"/>
      <c r="K30" s="448">
        <v>37.38</v>
      </c>
      <c r="L30" s="26" t="s">
        <v>45</v>
      </c>
    </row>
    <row r="31" spans="4:15" ht="15">
      <c r="D31" s="22"/>
      <c r="E31" s="33"/>
      <c r="F31" s="123"/>
      <c r="G31" s="4"/>
      <c r="H31" s="33"/>
      <c r="I31" s="5"/>
      <c r="J31" s="4"/>
      <c r="K31" s="448">
        <v>6.83</v>
      </c>
      <c r="L31" s="26" t="s">
        <v>194</v>
      </c>
      <c r="N31" s="51"/>
      <c r="O31" s="51"/>
    </row>
    <row r="32" spans="4:15" ht="15">
      <c r="D32" s="22"/>
      <c r="E32" s="5"/>
      <c r="F32" s="123"/>
      <c r="G32" s="4"/>
      <c r="H32" s="5"/>
      <c r="J32" s="23"/>
      <c r="K32" s="448">
        <v>6.21</v>
      </c>
      <c r="L32" s="26" t="s">
        <v>67</v>
      </c>
      <c r="N32" s="144"/>
      <c r="O32" s="51"/>
    </row>
    <row r="33" spans="4:15" ht="15">
      <c r="D33" s="22"/>
      <c r="E33" s="5"/>
      <c r="F33" s="123"/>
      <c r="G33" s="4"/>
      <c r="H33" s="5"/>
      <c r="J33" s="13"/>
      <c r="K33" s="448">
        <v>7.13</v>
      </c>
      <c r="L33" s="109" t="s">
        <v>48</v>
      </c>
      <c r="N33" s="144"/>
      <c r="O33" s="51"/>
    </row>
    <row r="34" spans="4:15" ht="15">
      <c r="D34" s="22"/>
      <c r="E34" s="5"/>
      <c r="F34" s="123"/>
      <c r="G34" s="4"/>
      <c r="H34" s="5"/>
      <c r="K34" s="448">
        <v>5.32</v>
      </c>
      <c r="L34" s="313" t="s">
        <v>195</v>
      </c>
      <c r="N34" s="144"/>
      <c r="O34" s="51"/>
    </row>
    <row r="35" spans="4:15" ht="15">
      <c r="D35" s="22"/>
      <c r="E35" s="5"/>
      <c r="F35" s="123"/>
      <c r="G35" s="4"/>
      <c r="H35" s="5"/>
      <c r="J35" s="23"/>
      <c r="K35" s="448">
        <v>3.15</v>
      </c>
      <c r="L35" s="26" t="s">
        <v>196</v>
      </c>
      <c r="N35" s="151"/>
      <c r="O35" s="51"/>
    </row>
    <row r="36" spans="11:13" ht="12.75">
      <c r="K36" s="448">
        <v>57.5</v>
      </c>
      <c r="L36" s="26" t="s">
        <v>198</v>
      </c>
      <c r="M36" t="s">
        <v>204</v>
      </c>
    </row>
    <row r="37" spans="11:17" ht="12.75">
      <c r="K37" s="448">
        <v>15.24</v>
      </c>
      <c r="L37" s="26" t="s">
        <v>199</v>
      </c>
      <c r="N37" s="26" t="s">
        <v>209</v>
      </c>
      <c r="O37" s="26"/>
      <c r="P37" t="s">
        <v>184</v>
      </c>
      <c r="Q37" s="23">
        <v>3629</v>
      </c>
    </row>
    <row r="38" spans="6:17" ht="12.75">
      <c r="F38" s="23">
        <v>4.08</v>
      </c>
      <c r="J38" s="13"/>
      <c r="K38" s="448">
        <v>12.99</v>
      </c>
      <c r="L38" s="26" t="s">
        <v>200</v>
      </c>
      <c r="N38" s="109">
        <v>43113</v>
      </c>
      <c r="O38" s="27"/>
      <c r="P38" t="s">
        <v>226</v>
      </c>
      <c r="Q38" s="23">
        <v>223</v>
      </c>
    </row>
    <row r="39" spans="6:17" ht="12.75">
      <c r="F39" s="23">
        <v>15.8</v>
      </c>
      <c r="J39" s="13"/>
      <c r="K39" s="448">
        <v>7.5</v>
      </c>
      <c r="L39" s="26" t="s">
        <v>205</v>
      </c>
      <c r="N39" s="452" t="s">
        <v>85</v>
      </c>
      <c r="O39" s="27">
        <v>8</v>
      </c>
      <c r="P39" t="s">
        <v>227</v>
      </c>
      <c r="Q39" s="23">
        <v>69</v>
      </c>
    </row>
    <row r="40" spans="6:17" ht="12.75">
      <c r="F40" s="23">
        <v>315.4</v>
      </c>
      <c r="J40" s="13"/>
      <c r="K40" s="448">
        <v>15.8</v>
      </c>
      <c r="L40" s="26" t="s">
        <v>59</v>
      </c>
      <c r="N40" s="26" t="s">
        <v>210</v>
      </c>
      <c r="O40" s="27">
        <v>7</v>
      </c>
      <c r="Q40" s="23"/>
    </row>
    <row r="41" spans="6:17" ht="12.75">
      <c r="F41" s="23">
        <v>3.1</v>
      </c>
      <c r="K41" s="499">
        <v>4.08</v>
      </c>
      <c r="L41" s="500" t="s">
        <v>306</v>
      </c>
      <c r="N41" s="26" t="s">
        <v>211</v>
      </c>
      <c r="O41" s="27">
        <v>30</v>
      </c>
      <c r="Q41" s="23"/>
    </row>
    <row r="42" spans="6:18" ht="12.75">
      <c r="F42" s="23">
        <f>SUM(F38:F41)</f>
        <v>338.38</v>
      </c>
      <c r="I42" s="13"/>
      <c r="J42" s="13"/>
      <c r="K42" s="116"/>
      <c r="L42" s="114"/>
      <c r="N42" s="204" t="s">
        <v>220</v>
      </c>
      <c r="O42" s="27">
        <v>110.88</v>
      </c>
      <c r="P42" s="453" t="s">
        <v>228</v>
      </c>
      <c r="Q42" s="454"/>
      <c r="R42" s="454">
        <v>550</v>
      </c>
    </row>
    <row r="43" spans="11:18" ht="12.75">
      <c r="K43" s="27"/>
      <c r="L43" s="114"/>
      <c r="N43" s="109">
        <v>43114</v>
      </c>
      <c r="O43" s="27"/>
      <c r="P43" s="453" t="s">
        <v>229</v>
      </c>
      <c r="Q43" s="454"/>
      <c r="R43" s="454">
        <v>161</v>
      </c>
    </row>
    <row r="44" spans="11:18" ht="12.75">
      <c r="K44" s="27"/>
      <c r="L44" s="114"/>
      <c r="N44" s="452" t="s">
        <v>85</v>
      </c>
      <c r="O44" s="27"/>
      <c r="R44" s="23">
        <f>SUM(R42:R43)</f>
        <v>711</v>
      </c>
    </row>
    <row r="45" spans="11:18" ht="12.75">
      <c r="K45" s="27"/>
      <c r="L45" s="114"/>
      <c r="N45" s="204" t="s">
        <v>215</v>
      </c>
      <c r="O45" s="27">
        <v>468</v>
      </c>
      <c r="R45" s="23"/>
    </row>
    <row r="46" spans="11:15" ht="12.75">
      <c r="K46" s="27"/>
      <c r="L46" s="26"/>
      <c r="N46" s="452" t="s">
        <v>127</v>
      </c>
      <c r="O46" s="27">
        <v>70</v>
      </c>
    </row>
    <row r="47" spans="11:15" ht="12.75">
      <c r="K47" s="27"/>
      <c r="L47" s="26"/>
      <c r="N47" s="26" t="s">
        <v>212</v>
      </c>
      <c r="O47" s="27">
        <v>30</v>
      </c>
    </row>
    <row r="48" spans="7:15" ht="12.75">
      <c r="G48" s="13">
        <f>O45/2</f>
        <v>234</v>
      </c>
      <c r="K48" s="27">
        <f>SUM(K29:K47)</f>
        <v>187.29000000000005</v>
      </c>
      <c r="L48" s="26"/>
      <c r="N48" s="109">
        <v>43115</v>
      </c>
      <c r="O48" s="27"/>
    </row>
    <row r="49" spans="7:15" ht="12.75">
      <c r="G49" s="13">
        <f>G48*3</f>
        <v>702</v>
      </c>
      <c r="N49" s="26" t="s">
        <v>213</v>
      </c>
      <c r="O49" s="27" t="s">
        <v>214</v>
      </c>
    </row>
    <row r="50" spans="14:15" ht="12.75">
      <c r="N50" s="26" t="s">
        <v>211</v>
      </c>
      <c r="O50" s="27">
        <v>30</v>
      </c>
    </row>
    <row r="51" spans="14:15" ht="12.75">
      <c r="N51" s="26"/>
      <c r="O51" s="26"/>
    </row>
    <row r="52" spans="14:15" ht="12.75">
      <c r="N52" s="109">
        <v>43116</v>
      </c>
      <c r="O52" s="26"/>
    </row>
    <row r="53" spans="14:15" ht="12.75">
      <c r="N53" s="26" t="s">
        <v>218</v>
      </c>
      <c r="O53" s="27" t="s">
        <v>214</v>
      </c>
    </row>
    <row r="54" spans="14:15" ht="12.75">
      <c r="N54" s="26" t="s">
        <v>211</v>
      </c>
      <c r="O54" s="27">
        <v>29</v>
      </c>
    </row>
    <row r="55" spans="14:15" ht="12.75">
      <c r="N55" s="204" t="s">
        <v>219</v>
      </c>
      <c r="O55" s="27">
        <v>150</v>
      </c>
    </row>
    <row r="56" spans="14:15" ht="12.75">
      <c r="N56" s="109">
        <v>43117</v>
      </c>
      <c r="O56" s="27"/>
    </row>
    <row r="57" spans="14:15" ht="12.75">
      <c r="N57" s="26" t="s">
        <v>218</v>
      </c>
      <c r="O57" s="27" t="s">
        <v>214</v>
      </c>
    </row>
    <row r="58" spans="14:15" ht="12.75">
      <c r="N58" s="26" t="s">
        <v>210</v>
      </c>
      <c r="O58" s="27">
        <v>12.5</v>
      </c>
    </row>
    <row r="59" spans="14:15" ht="12.75">
      <c r="N59" s="26" t="s">
        <v>211</v>
      </c>
      <c r="O59" s="27">
        <v>25</v>
      </c>
    </row>
    <row r="60" spans="14:15" ht="12.75">
      <c r="N60" s="109">
        <v>43118</v>
      </c>
      <c r="O60" s="27"/>
    </row>
    <row r="61" spans="14:15" ht="12.75">
      <c r="N61" s="26" t="s">
        <v>218</v>
      </c>
      <c r="O61" s="27" t="s">
        <v>214</v>
      </c>
    </row>
    <row r="62" spans="14:15" ht="12.75">
      <c r="N62" s="26" t="s">
        <v>210</v>
      </c>
      <c r="O62" s="27">
        <v>18</v>
      </c>
    </row>
    <row r="63" spans="14:15" ht="12.75">
      <c r="N63" s="26" t="s">
        <v>172</v>
      </c>
      <c r="O63" s="27">
        <v>21</v>
      </c>
    </row>
    <row r="64" spans="14:16" ht="12.75">
      <c r="N64" s="109">
        <v>43119</v>
      </c>
      <c r="O64" s="27"/>
      <c r="P64" t="s">
        <v>225</v>
      </c>
    </row>
    <row r="65" spans="14:15" ht="12.75">
      <c r="N65" s="26" t="s">
        <v>218</v>
      </c>
      <c r="O65" s="27" t="s">
        <v>214</v>
      </c>
    </row>
    <row r="66" spans="14:15" ht="12.75">
      <c r="N66" s="26" t="s">
        <v>223</v>
      </c>
      <c r="O66" s="27">
        <v>57.28</v>
      </c>
    </row>
    <row r="67" spans="14:15" ht="12.75">
      <c r="N67" s="26" t="s">
        <v>224</v>
      </c>
      <c r="O67" s="27">
        <v>20</v>
      </c>
    </row>
    <row r="68" spans="14:15" ht="12.75">
      <c r="N68" s="26" t="s">
        <v>211</v>
      </c>
      <c r="O68" s="27">
        <v>20</v>
      </c>
    </row>
    <row r="69" spans="14:15" ht="12.75">
      <c r="N69" s="26"/>
      <c r="O69" s="27"/>
    </row>
    <row r="70" spans="14:15" ht="12.75">
      <c r="N70" s="26"/>
      <c r="O70" s="27"/>
    </row>
    <row r="71" spans="14:15" ht="12.75">
      <c r="N71" s="26"/>
      <c r="O71" s="27"/>
    </row>
    <row r="72" spans="14:15" ht="12.75">
      <c r="N72" s="26"/>
      <c r="O72" s="27"/>
    </row>
    <row r="73" spans="14:15" ht="12.75">
      <c r="N73" s="26"/>
      <c r="O73" s="27"/>
    </row>
    <row r="74" spans="14:15" ht="12.75">
      <c r="N74" s="26"/>
      <c r="O74" s="27"/>
    </row>
    <row r="75" spans="14:15" ht="12.75">
      <c r="N75" s="26"/>
      <c r="O75" s="27"/>
    </row>
    <row r="76" spans="14:15" ht="12.75">
      <c r="N76" s="26"/>
      <c r="O76" s="26"/>
    </row>
    <row r="77" spans="14:15" ht="12.75">
      <c r="N77" s="26"/>
      <c r="O77" s="26"/>
    </row>
    <row r="78" spans="14:15" ht="12.75">
      <c r="N78" s="26"/>
      <c r="O78" s="26"/>
    </row>
    <row r="79" spans="14:15" ht="12.75">
      <c r="N79" s="26"/>
      <c r="O79" s="26"/>
    </row>
    <row r="80" spans="14:15" ht="12.75">
      <c r="N80" s="26"/>
      <c r="O80" s="26"/>
    </row>
    <row r="81" spans="14:15" ht="12.75">
      <c r="N81" s="26"/>
      <c r="O81" s="26"/>
    </row>
    <row r="82" spans="14:15" ht="12.75">
      <c r="N82" s="26"/>
      <c r="O82" s="26"/>
    </row>
    <row r="83" spans="14:15" ht="12.75">
      <c r="N83" s="26"/>
      <c r="O83" s="26"/>
    </row>
    <row r="84" spans="14:15" ht="12.75">
      <c r="N84" s="26"/>
      <c r="O84" s="26"/>
    </row>
    <row r="85" ht="12.75">
      <c r="O85" s="13">
        <f>SUM(O39:O84)</f>
        <v>1106.66</v>
      </c>
    </row>
  </sheetData>
  <sheetProtection/>
  <hyperlinks>
    <hyperlink ref="N14" r:id="rId1" display="wfwatw@gmail.com"/>
  </hyperlinks>
  <printOptions/>
  <pageMargins left="0.75" right="0.75" top="1" bottom="1" header="0.5" footer="0.5"/>
  <pageSetup horizontalDpi="300" verticalDpi="30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9"/>
  <sheetViews>
    <sheetView zoomScale="115" zoomScaleNormal="115" zoomScalePageLayoutView="0" workbookViewId="0" topLeftCell="A1">
      <selection activeCell="J23" sqref="J23"/>
    </sheetView>
  </sheetViews>
  <sheetFormatPr defaultColWidth="9.140625" defaultRowHeight="12.75"/>
  <cols>
    <col min="1" max="1" width="7.57421875" style="0" customWidth="1"/>
    <col min="2" max="2" width="12.7109375" style="0" bestFit="1" customWidth="1"/>
    <col min="3" max="3" width="11.7109375" style="0" bestFit="1" customWidth="1"/>
    <col min="4" max="4" width="10.421875" style="0" bestFit="1" customWidth="1"/>
    <col min="6" max="6" width="27.421875" style="0" bestFit="1" customWidth="1"/>
    <col min="7" max="7" width="12.28125" style="0" customWidth="1"/>
    <col min="8" max="8" width="12.8515625" style="0" bestFit="1" customWidth="1"/>
    <col min="9" max="9" width="10.28125" style="0" bestFit="1" customWidth="1"/>
    <col min="10" max="10" width="12.8515625" style="0" bestFit="1" customWidth="1"/>
    <col min="11" max="11" width="9.28125" style="0" bestFit="1" customWidth="1"/>
    <col min="12" max="12" width="11.140625" style="0" customWidth="1"/>
    <col min="13" max="13" width="15.7109375" style="0" bestFit="1" customWidth="1"/>
    <col min="14" max="14" width="31.140625" style="0" bestFit="1" customWidth="1"/>
    <col min="16" max="16" width="13.421875" style="0" customWidth="1"/>
  </cols>
  <sheetData>
    <row r="1" ht="15">
      <c r="B1" s="5" t="s">
        <v>94</v>
      </c>
    </row>
    <row r="3" spans="2:8" ht="15">
      <c r="B3" s="5" t="s">
        <v>0</v>
      </c>
      <c r="C3" s="5"/>
      <c r="D3" s="5"/>
      <c r="F3" s="5"/>
      <c r="G3" s="43"/>
      <c r="H3" s="4">
        <f>B17</f>
        <v>7270</v>
      </c>
    </row>
    <row r="4" spans="6:8" ht="15">
      <c r="F4" s="5"/>
      <c r="H4" s="23"/>
    </row>
    <row r="5" spans="2:21" ht="15">
      <c r="B5" s="171">
        <v>2410</v>
      </c>
      <c r="C5" t="s">
        <v>2</v>
      </c>
      <c r="F5" s="172" t="s">
        <v>3</v>
      </c>
      <c r="G5" s="206"/>
      <c r="H5" s="4"/>
      <c r="U5" t="s">
        <v>84</v>
      </c>
    </row>
    <row r="6" spans="5:22" ht="15.75">
      <c r="E6" s="22"/>
      <c r="F6" s="174"/>
      <c r="G6" s="196"/>
      <c r="H6" s="4">
        <f>H3-G6</f>
        <v>7270</v>
      </c>
      <c r="I6" s="160"/>
      <c r="J6" s="126"/>
      <c r="K6" s="126"/>
      <c r="L6" s="126"/>
      <c r="M6" s="126"/>
      <c r="R6" t="s">
        <v>55</v>
      </c>
      <c r="U6" s="27">
        <v>130</v>
      </c>
      <c r="V6" s="26" t="s">
        <v>85</v>
      </c>
    </row>
    <row r="7" spans="2:19" ht="15.75">
      <c r="B7" s="176">
        <v>302</v>
      </c>
      <c r="C7" t="s">
        <v>4</v>
      </c>
      <c r="E7" s="22"/>
      <c r="F7" s="174" t="s">
        <v>5</v>
      </c>
      <c r="G7" s="175">
        <v>1174</v>
      </c>
      <c r="H7" s="4">
        <f>H6-G7</f>
        <v>6096</v>
      </c>
      <c r="I7" s="152" t="s">
        <v>6</v>
      </c>
      <c r="J7" s="126"/>
      <c r="K7" s="126"/>
      <c r="L7" s="175"/>
      <c r="M7" s="126"/>
      <c r="R7" s="27">
        <v>152</v>
      </c>
      <c r="S7" s="26" t="s">
        <v>87</v>
      </c>
    </row>
    <row r="8" spans="2:19" ht="15.75">
      <c r="B8" s="104">
        <v>1375</v>
      </c>
      <c r="C8" s="5" t="s">
        <v>9</v>
      </c>
      <c r="D8" s="5"/>
      <c r="E8" s="22"/>
      <c r="F8" s="174" t="s">
        <v>10</v>
      </c>
      <c r="G8" s="177">
        <v>224.5</v>
      </c>
      <c r="H8" s="4">
        <f aca="true" t="shared" si="0" ref="H8:H23">H7-G8</f>
        <v>5871.5</v>
      </c>
      <c r="I8" s="126"/>
      <c r="J8" s="126"/>
      <c r="K8" s="126"/>
      <c r="L8" s="177"/>
      <c r="M8" s="126"/>
      <c r="R8" s="28"/>
      <c r="S8" s="101" t="s">
        <v>88</v>
      </c>
    </row>
    <row r="9" spans="2:21" ht="15.75">
      <c r="B9" s="106">
        <v>296</v>
      </c>
      <c r="C9" s="5" t="s">
        <v>11</v>
      </c>
      <c r="D9" s="5"/>
      <c r="E9" s="22"/>
      <c r="F9" s="174" t="s">
        <v>12</v>
      </c>
      <c r="G9" s="178">
        <v>139</v>
      </c>
      <c r="H9" s="4">
        <f t="shared" si="0"/>
        <v>5732.5</v>
      </c>
      <c r="I9" s="152" t="s">
        <v>6</v>
      </c>
      <c r="J9" s="126"/>
      <c r="K9" s="126"/>
      <c r="L9" s="178"/>
      <c r="M9" s="126"/>
      <c r="R9" s="229">
        <f>SUM(R6:R8)</f>
        <v>152</v>
      </c>
      <c r="S9" s="114"/>
      <c r="U9" s="13"/>
    </row>
    <row r="10" spans="1:13" ht="15.75">
      <c r="A10" s="22">
        <v>43369</v>
      </c>
      <c r="B10" s="106">
        <v>598</v>
      </c>
      <c r="C10" s="5" t="s">
        <v>13</v>
      </c>
      <c r="D10" s="128" t="s">
        <v>95</v>
      </c>
      <c r="E10" s="22"/>
      <c r="F10" s="174" t="s">
        <v>15</v>
      </c>
      <c r="G10" s="177">
        <v>267.09</v>
      </c>
      <c r="H10" s="4">
        <f t="shared" si="0"/>
        <v>5465.41</v>
      </c>
      <c r="I10" s="532" t="s">
        <v>399</v>
      </c>
      <c r="J10" s="126"/>
      <c r="K10" s="126"/>
      <c r="L10" s="177"/>
      <c r="M10" s="217"/>
    </row>
    <row r="11" spans="2:21" ht="15.75">
      <c r="B11" s="106">
        <v>2289</v>
      </c>
      <c r="C11" s="5" t="s">
        <v>16</v>
      </c>
      <c r="D11" s="5"/>
      <c r="E11" s="22"/>
      <c r="F11" s="174" t="s">
        <v>17</v>
      </c>
      <c r="G11" s="178">
        <v>143</v>
      </c>
      <c r="H11" s="4">
        <f t="shared" si="0"/>
        <v>5322.41</v>
      </c>
      <c r="I11" s="532" t="s">
        <v>390</v>
      </c>
      <c r="J11" s="126"/>
      <c r="K11" s="126"/>
      <c r="L11" s="178"/>
      <c r="M11" s="126"/>
      <c r="R11" s="52" t="s">
        <v>89</v>
      </c>
      <c r="S11" s="52" t="s">
        <v>90</v>
      </c>
      <c r="T11" s="52"/>
      <c r="U11" s="52"/>
    </row>
    <row r="12" spans="2:21" ht="18">
      <c r="B12" s="104"/>
      <c r="C12" s="5" t="s">
        <v>71</v>
      </c>
      <c r="D12" s="5"/>
      <c r="E12" s="22"/>
      <c r="F12" s="174" t="s">
        <v>19</v>
      </c>
      <c r="G12" s="178">
        <v>925</v>
      </c>
      <c r="H12" s="4">
        <f t="shared" si="0"/>
        <v>4397.41</v>
      </c>
      <c r="I12" s="548" t="s">
        <v>402</v>
      </c>
      <c r="J12" s="126"/>
      <c r="K12" s="126"/>
      <c r="L12" s="178"/>
      <c r="M12" s="126"/>
      <c r="N12" s="218" t="s">
        <v>364</v>
      </c>
      <c r="O12" s="187"/>
      <c r="P12" s="219" t="s">
        <v>96</v>
      </c>
      <c r="R12" s="52"/>
      <c r="S12" s="47">
        <v>51.63</v>
      </c>
      <c r="T12" s="52"/>
      <c r="U12" s="53"/>
    </row>
    <row r="13" spans="2:21" ht="15.75">
      <c r="B13" s="179"/>
      <c r="C13" s="5"/>
      <c r="D13" s="5"/>
      <c r="E13" s="22"/>
      <c r="F13" s="174" t="s">
        <v>21</v>
      </c>
      <c r="G13" s="177"/>
      <c r="H13" s="4">
        <f t="shared" si="0"/>
        <v>4397.41</v>
      </c>
      <c r="I13" s="126"/>
      <c r="J13" s="126"/>
      <c r="K13" s="126"/>
      <c r="L13" s="177"/>
      <c r="M13" s="217"/>
      <c r="N13" s="220" t="s">
        <v>22</v>
      </c>
      <c r="O13" s="178" t="s">
        <v>23</v>
      </c>
      <c r="P13" s="27"/>
      <c r="R13" s="52"/>
      <c r="S13" s="47">
        <v>15.8</v>
      </c>
      <c r="T13" s="52"/>
      <c r="U13" s="52"/>
    </row>
    <row r="14" spans="2:21" ht="15.75">
      <c r="B14" s="207"/>
      <c r="C14" s="181" t="s">
        <v>97</v>
      </c>
      <c r="D14" s="44"/>
      <c r="E14" s="22"/>
      <c r="F14" s="174" t="s">
        <v>24</v>
      </c>
      <c r="G14" s="177"/>
      <c r="H14" s="4">
        <f t="shared" si="0"/>
        <v>4397.41</v>
      </c>
      <c r="I14" s="152"/>
      <c r="K14" s="126"/>
      <c r="L14" s="177"/>
      <c r="M14" s="126"/>
      <c r="N14" s="220" t="s">
        <v>26</v>
      </c>
      <c r="O14" s="89"/>
      <c r="P14" s="27"/>
      <c r="R14" s="52"/>
      <c r="S14" s="108">
        <f>SUM(S12:S13)</f>
        <v>67.43</v>
      </c>
      <c r="T14" s="52" t="s">
        <v>91</v>
      </c>
      <c r="U14" s="52"/>
    </row>
    <row r="15" spans="2:16" ht="15.75">
      <c r="B15" s="182"/>
      <c r="C15" s="208" t="s">
        <v>44</v>
      </c>
      <c r="D15" s="50"/>
      <c r="E15" s="22"/>
      <c r="F15" s="174" t="s">
        <v>28</v>
      </c>
      <c r="G15" s="175">
        <v>79</v>
      </c>
      <c r="H15" s="4">
        <f t="shared" si="0"/>
        <v>4318.41</v>
      </c>
      <c r="I15" s="152" t="s">
        <v>6</v>
      </c>
      <c r="J15" s="126"/>
      <c r="K15" s="126"/>
      <c r="L15" s="175"/>
      <c r="M15" s="126"/>
      <c r="N15" s="221" t="s">
        <v>29</v>
      </c>
      <c r="O15" s="89"/>
      <c r="P15" s="26"/>
    </row>
    <row r="16" spans="2:16" ht="15.75">
      <c r="B16" s="184"/>
      <c r="E16" s="22"/>
      <c r="F16" s="174" t="s">
        <v>74</v>
      </c>
      <c r="G16" s="175"/>
      <c r="H16" s="4">
        <f t="shared" si="0"/>
        <v>4318.41</v>
      </c>
      <c r="I16" s="152"/>
      <c r="J16" s="126"/>
      <c r="K16" s="126"/>
      <c r="L16" s="175"/>
      <c r="M16" s="126"/>
      <c r="N16" s="220" t="s">
        <v>31</v>
      </c>
      <c r="O16" s="178"/>
      <c r="P16" s="26"/>
    </row>
    <row r="17" spans="2:13" ht="15.75">
      <c r="B17" s="185">
        <f>SUM(B5:B16)</f>
        <v>7270</v>
      </c>
      <c r="E17" s="22"/>
      <c r="F17" s="174" t="s">
        <v>30</v>
      </c>
      <c r="G17" s="178">
        <v>596.59</v>
      </c>
      <c r="H17" s="4">
        <f t="shared" si="0"/>
        <v>3721.8199999999997</v>
      </c>
      <c r="I17" s="152"/>
      <c r="J17" s="126" t="s">
        <v>388</v>
      </c>
      <c r="K17" s="125"/>
      <c r="L17" s="178"/>
      <c r="M17" s="126"/>
    </row>
    <row r="18" spans="5:16" ht="15.75">
      <c r="E18" s="22"/>
      <c r="F18" s="186" t="s">
        <v>32</v>
      </c>
      <c r="G18" s="178">
        <v>2800</v>
      </c>
      <c r="H18" s="4">
        <f t="shared" si="0"/>
        <v>921.8199999999997</v>
      </c>
      <c r="I18" s="152"/>
      <c r="J18" s="126"/>
      <c r="K18" s="126"/>
      <c r="L18" s="178"/>
      <c r="M18" s="126"/>
      <c r="N18" s="193"/>
      <c r="O18" s="31"/>
      <c r="P18" s="222">
        <v>42695</v>
      </c>
    </row>
    <row r="19" spans="5:13" ht="15.75">
      <c r="E19" s="22"/>
      <c r="F19" s="174" t="s">
        <v>33</v>
      </c>
      <c r="G19" s="187">
        <v>500</v>
      </c>
      <c r="H19" s="4">
        <f t="shared" si="0"/>
        <v>421.8199999999997</v>
      </c>
      <c r="I19" s="152"/>
      <c r="J19" s="126"/>
      <c r="K19" s="126"/>
      <c r="L19" s="178"/>
      <c r="M19" s="126"/>
    </row>
    <row r="20" spans="3:16" ht="15.75">
      <c r="C20" s="13">
        <f>B11+26</f>
        <v>2315</v>
      </c>
      <c r="E20" s="22"/>
      <c r="F20" s="174" t="s">
        <v>34</v>
      </c>
      <c r="G20" s="188">
        <v>451</v>
      </c>
      <c r="H20" s="4">
        <f t="shared" si="0"/>
        <v>-29.18000000000029</v>
      </c>
      <c r="I20" s="152" t="s">
        <v>371</v>
      </c>
      <c r="J20" s="126"/>
      <c r="K20" s="126"/>
      <c r="L20" s="188"/>
      <c r="M20" s="126"/>
      <c r="N20" s="132"/>
      <c r="O20" s="132"/>
      <c r="P20" s="132"/>
    </row>
    <row r="21" spans="3:13" ht="15.75">
      <c r="C21" s="43">
        <f>B7*0.012</f>
        <v>3.624</v>
      </c>
      <c r="E21" s="22"/>
      <c r="F21" s="189" t="s">
        <v>35</v>
      </c>
      <c r="G21" s="175">
        <v>189</v>
      </c>
      <c r="H21" s="4">
        <f t="shared" si="0"/>
        <v>-218.1800000000003</v>
      </c>
      <c r="I21" s="209" t="s">
        <v>6</v>
      </c>
      <c r="J21" s="126"/>
      <c r="K21" s="126"/>
      <c r="L21" s="175"/>
      <c r="M21" s="126"/>
    </row>
    <row r="22" spans="3:13" ht="15.75">
      <c r="C22" s="43"/>
      <c r="E22" s="190"/>
      <c r="F22" s="191" t="s">
        <v>37</v>
      </c>
      <c r="G22" s="210">
        <v>100</v>
      </c>
      <c r="H22" s="4">
        <f t="shared" si="0"/>
        <v>-318.1800000000003</v>
      </c>
      <c r="I22" s="211"/>
      <c r="J22" s="126"/>
      <c r="K22" s="126"/>
      <c r="L22" s="175"/>
      <c r="M22" s="126"/>
    </row>
    <row r="23" spans="3:13" ht="15.75">
      <c r="C23" s="43"/>
      <c r="D23" s="212"/>
      <c r="E23" s="22"/>
      <c r="F23" s="213" t="s">
        <v>38</v>
      </c>
      <c r="G23" s="193"/>
      <c r="H23" s="4">
        <f t="shared" si="0"/>
        <v>-318.1800000000003</v>
      </c>
      <c r="I23" s="152"/>
      <c r="J23" s="126"/>
      <c r="K23" s="126"/>
      <c r="L23" s="193"/>
      <c r="M23" s="126"/>
    </row>
    <row r="24" spans="4:19" ht="15.75">
      <c r="D24" s="212"/>
      <c r="E24" s="22"/>
      <c r="F24" s="50"/>
      <c r="G24" s="214"/>
      <c r="H24" s="4"/>
      <c r="I24" s="152"/>
      <c r="J24" s="126"/>
      <c r="K24" s="126"/>
      <c r="L24" s="193"/>
      <c r="M24" s="126"/>
      <c r="S24" s="43">
        <f>G22-G26</f>
        <v>100</v>
      </c>
    </row>
    <row r="25" spans="5:13" ht="15">
      <c r="E25" s="22"/>
      <c r="F25" s="50"/>
      <c r="G25" s="193"/>
      <c r="H25" s="4"/>
      <c r="I25" s="152"/>
      <c r="J25" s="126"/>
      <c r="K25" s="126"/>
      <c r="L25" s="193"/>
      <c r="M25" s="126"/>
    </row>
    <row r="26" spans="5:13" ht="15">
      <c r="E26" s="22"/>
      <c r="F26" s="50"/>
      <c r="G26" s="193"/>
      <c r="H26" s="4"/>
      <c r="I26" s="152"/>
      <c r="J26" s="152"/>
      <c r="K26" s="217"/>
      <c r="L26" s="223"/>
      <c r="M26" s="126"/>
    </row>
    <row r="27" spans="5:13" ht="15">
      <c r="E27" s="22"/>
      <c r="F27" s="5"/>
      <c r="G27" s="193"/>
      <c r="H27" s="4"/>
      <c r="I27" s="152"/>
      <c r="J27" s="152"/>
      <c r="K27" s="126"/>
      <c r="L27" s="193"/>
      <c r="M27" s="126"/>
    </row>
    <row r="28" spans="5:16" ht="15">
      <c r="E28" s="22"/>
      <c r="F28" s="5"/>
      <c r="G28" s="193"/>
      <c r="H28" s="4"/>
      <c r="I28" s="125"/>
      <c r="J28" s="163"/>
      <c r="K28" s="126"/>
      <c r="L28" s="193"/>
      <c r="M28" s="152"/>
      <c r="P28" s="13"/>
    </row>
    <row r="29" spans="5:13" ht="15">
      <c r="E29" s="22"/>
      <c r="F29" s="5"/>
      <c r="G29" s="193"/>
      <c r="H29" s="4"/>
      <c r="I29" s="23">
        <v>24998</v>
      </c>
      <c r="J29" s="152"/>
      <c r="K29" s="126">
        <v>20075</v>
      </c>
      <c r="L29" s="217"/>
      <c r="M29" s="126"/>
    </row>
    <row r="30" spans="5:13" ht="15">
      <c r="E30" s="22"/>
      <c r="F30" s="5"/>
      <c r="G30" s="193"/>
      <c r="H30" s="4"/>
      <c r="I30" s="125"/>
      <c r="J30" s="163">
        <f>J28-L26</f>
        <v>0</v>
      </c>
      <c r="K30" s="126">
        <v>13000</v>
      </c>
      <c r="L30" s="153"/>
      <c r="M30" s="126"/>
    </row>
    <row r="31" spans="3:16" ht="20.25">
      <c r="C31" s="13">
        <f>G25*F53</f>
        <v>0</v>
      </c>
      <c r="E31" s="22"/>
      <c r="F31" s="5"/>
      <c r="G31" s="193"/>
      <c r="H31" s="4"/>
      <c r="I31" s="125">
        <v>1075</v>
      </c>
      <c r="J31" s="163"/>
      <c r="K31" s="153">
        <f>K29-K30</f>
        <v>7075</v>
      </c>
      <c r="L31" s="125">
        <v>6000</v>
      </c>
      <c r="M31" s="224">
        <f>K31-L31</f>
        <v>1075</v>
      </c>
      <c r="N31" s="225"/>
      <c r="P31" s="23"/>
    </row>
    <row r="32" spans="5:16" ht="15">
      <c r="E32" s="22"/>
      <c r="F32" s="5"/>
      <c r="G32" s="193"/>
      <c r="I32" s="34">
        <f>SUM(I29:I31)</f>
        <v>26073</v>
      </c>
      <c r="J32" s="125"/>
      <c r="K32" s="126"/>
      <c r="L32" s="126"/>
      <c r="M32" s="126"/>
      <c r="N32" s="13"/>
      <c r="P32" s="23"/>
    </row>
    <row r="33" spans="6:16" ht="12.75">
      <c r="F33" s="33"/>
      <c r="G33" s="33"/>
      <c r="J33" s="125"/>
      <c r="K33" s="126"/>
      <c r="L33" s="153"/>
      <c r="M33" s="153"/>
      <c r="N33" s="13"/>
      <c r="P33" s="23"/>
    </row>
    <row r="34" spans="6:16" ht="15.75">
      <c r="F34" s="93" t="s">
        <v>98</v>
      </c>
      <c r="G34" s="215"/>
      <c r="J34" s="23"/>
      <c r="L34" s="13"/>
      <c r="M34" s="13"/>
      <c r="P34" s="23"/>
    </row>
    <row r="35" spans="6:16" ht="12.75">
      <c r="F35" s="27"/>
      <c r="G35" s="215"/>
      <c r="J35" s="23"/>
      <c r="L35" s="162"/>
      <c r="P35" s="226"/>
    </row>
    <row r="36" spans="6:14" ht="12.75">
      <c r="F36" s="27"/>
      <c r="G36" s="27"/>
      <c r="I36" s="51"/>
      <c r="J36" s="144"/>
      <c r="K36" s="51"/>
      <c r="L36" s="227"/>
      <c r="M36" s="51"/>
      <c r="N36" s="151"/>
    </row>
    <row r="37" spans="6:14" ht="12.75">
      <c r="F37" s="27"/>
      <c r="G37" s="27"/>
      <c r="I37" s="51"/>
      <c r="J37" s="144"/>
      <c r="K37" s="51"/>
      <c r="L37" s="125"/>
      <c r="M37" s="59"/>
      <c r="N37" s="51"/>
    </row>
    <row r="38" spans="6:14" ht="12.75">
      <c r="F38" s="27"/>
      <c r="G38" s="27"/>
      <c r="I38" s="51"/>
      <c r="J38" s="51"/>
      <c r="K38" s="51"/>
      <c r="L38" s="125"/>
      <c r="M38" s="166"/>
      <c r="N38" s="51"/>
    </row>
    <row r="39" spans="6:14" ht="12.75">
      <c r="F39" s="27"/>
      <c r="G39" s="27"/>
      <c r="I39" s="51"/>
      <c r="J39" s="151"/>
      <c r="K39" s="51"/>
      <c r="L39" s="125"/>
      <c r="M39" s="166"/>
      <c r="N39" s="51"/>
    </row>
    <row r="40" spans="6:14" ht="12.75">
      <c r="F40" s="27"/>
      <c r="G40" s="27"/>
      <c r="I40" s="51"/>
      <c r="J40" s="51"/>
      <c r="K40" s="51"/>
      <c r="L40" s="228"/>
      <c r="M40" s="51"/>
      <c r="N40" s="51"/>
    </row>
    <row r="41" spans="6:14" ht="12.75">
      <c r="F41" s="27"/>
      <c r="G41" s="27"/>
      <c r="I41" s="51"/>
      <c r="J41" s="151"/>
      <c r="K41" s="51"/>
      <c r="L41" s="126"/>
      <c r="M41" s="51"/>
      <c r="N41" s="51"/>
    </row>
    <row r="42" spans="6:14" ht="12.75">
      <c r="F42" s="27"/>
      <c r="G42" s="27"/>
      <c r="I42" s="51"/>
      <c r="J42" s="51"/>
      <c r="K42" s="51"/>
      <c r="L42" s="51"/>
      <c r="M42" s="51"/>
      <c r="N42" s="51"/>
    </row>
    <row r="43" spans="6:14" ht="12.75">
      <c r="F43" s="27"/>
      <c r="G43" s="27"/>
      <c r="I43" s="51"/>
      <c r="J43" s="51"/>
      <c r="K43" s="51"/>
      <c r="L43" s="51"/>
      <c r="M43" s="51"/>
      <c r="N43" s="51"/>
    </row>
    <row r="44" spans="6:14" ht="12.75">
      <c r="F44" s="215"/>
      <c r="G44" s="27"/>
      <c r="I44" s="51"/>
      <c r="J44" s="51"/>
      <c r="K44" s="51"/>
      <c r="L44" s="51"/>
      <c r="M44" s="51"/>
      <c r="N44" s="51"/>
    </row>
    <row r="45" spans="6:14" ht="12.75">
      <c r="F45" s="215"/>
      <c r="G45" s="215"/>
      <c r="I45" s="51"/>
      <c r="J45" s="51"/>
      <c r="K45" s="51"/>
      <c r="L45" s="51"/>
      <c r="M45" s="51"/>
      <c r="N45" s="51"/>
    </row>
    <row r="46" spans="6:14" ht="12.75">
      <c r="F46" s="215"/>
      <c r="G46" s="215"/>
      <c r="I46" s="51"/>
      <c r="J46" s="51"/>
      <c r="K46" s="51"/>
      <c r="L46" s="51"/>
      <c r="M46" s="51"/>
      <c r="N46" s="51"/>
    </row>
    <row r="47" spans="6:14" ht="12.75">
      <c r="F47" s="216"/>
      <c r="G47" s="215"/>
      <c r="I47" s="51"/>
      <c r="J47" s="51"/>
      <c r="K47" s="51"/>
      <c r="L47" s="51"/>
      <c r="M47" s="51"/>
      <c r="N47" s="51"/>
    </row>
    <row r="48" spans="6:14" ht="12.75">
      <c r="F48" s="215"/>
      <c r="G48" s="215"/>
      <c r="I48" s="51"/>
      <c r="J48" s="51"/>
      <c r="K48" s="51"/>
      <c r="L48" s="51"/>
      <c r="M48" s="51"/>
      <c r="N48" s="51"/>
    </row>
    <row r="49" spans="6:14" ht="12.75">
      <c r="F49" s="215"/>
      <c r="G49" s="215"/>
      <c r="I49" s="51"/>
      <c r="J49" s="59"/>
      <c r="K49" s="51"/>
      <c r="L49" s="51"/>
      <c r="M49" s="51"/>
      <c r="N49" s="51"/>
    </row>
    <row r="50" spans="6:14" ht="12.75">
      <c r="F50" s="215"/>
      <c r="G50" s="215"/>
      <c r="I50" s="51"/>
      <c r="J50" s="59"/>
      <c r="K50" s="51"/>
      <c r="L50" s="51"/>
      <c r="M50" s="51"/>
      <c r="N50" s="51"/>
    </row>
    <row r="51" spans="6:14" ht="12.75">
      <c r="F51" s="215"/>
      <c r="G51" s="215"/>
      <c r="I51" s="51"/>
      <c r="J51" s="59"/>
      <c r="K51" s="51"/>
      <c r="L51" s="51"/>
      <c r="M51" s="51"/>
      <c r="N51" s="51"/>
    </row>
    <row r="52" spans="6:14" ht="12.75">
      <c r="F52" s="215"/>
      <c r="G52" s="215"/>
      <c r="I52" s="51"/>
      <c r="J52" s="59"/>
      <c r="K52" s="51"/>
      <c r="L52" s="51"/>
      <c r="M52" s="51"/>
      <c r="N52" s="51"/>
    </row>
    <row r="53" spans="6:14" ht="12.75">
      <c r="F53" s="28"/>
      <c r="G53" s="215">
        <f>SUM(G35:G52)</f>
        <v>0</v>
      </c>
      <c r="I53" s="144"/>
      <c r="J53" s="59"/>
      <c r="K53" s="51"/>
      <c r="L53" s="51"/>
      <c r="M53" s="51"/>
      <c r="N53" s="51"/>
    </row>
    <row r="54" spans="7:14" ht="12.75">
      <c r="G54" s="23"/>
      <c r="H54" s="13"/>
      <c r="I54" s="51"/>
      <c r="J54" s="51"/>
      <c r="K54" s="51"/>
      <c r="L54" s="51"/>
      <c r="M54" s="51"/>
      <c r="N54" s="51"/>
    </row>
    <row r="55" spans="6:14" ht="12.75">
      <c r="F55" s="13">
        <f>SUM(F35:F54)</f>
        <v>0</v>
      </c>
      <c r="G55" s="23"/>
      <c r="I55" s="59"/>
      <c r="J55" s="51"/>
      <c r="K55" s="51"/>
      <c r="L55" s="51"/>
      <c r="M55" s="51"/>
      <c r="N55" s="51"/>
    </row>
    <row r="56" spans="9:14" ht="12.75">
      <c r="I56" s="51"/>
      <c r="J56" s="151"/>
      <c r="K56" s="51"/>
      <c r="L56" s="51"/>
      <c r="M56" s="51"/>
      <c r="N56" s="51"/>
    </row>
    <row r="59" spans="9:10" ht="12.75">
      <c r="I59" s="33"/>
      <c r="J59" s="23"/>
    </row>
  </sheetData>
  <sheetProtection/>
  <hyperlinks>
    <hyperlink ref="N15" r:id="rId1" display="wfwatw@gmail.com"/>
  </hyperlinks>
  <printOptions/>
  <pageMargins left="0.75" right="0.75" top="1" bottom="1" header="0.5" footer="0.5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V4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4.421875" style="0" customWidth="1"/>
    <col min="2" max="2" width="11.7109375" style="0" bestFit="1" customWidth="1"/>
    <col min="3" max="3" width="12.28125" style="0" bestFit="1" customWidth="1"/>
    <col min="5" max="5" width="19.8515625" style="0" bestFit="1" customWidth="1"/>
    <col min="6" max="6" width="11.57421875" style="0" bestFit="1" customWidth="1"/>
    <col min="7" max="7" width="12.8515625" style="0" bestFit="1" customWidth="1"/>
    <col min="10" max="11" width="9.57421875" style="0" bestFit="1" customWidth="1"/>
    <col min="13" max="13" width="9.57421875" style="0" bestFit="1" customWidth="1"/>
    <col min="17" max="17" width="10.28125" style="0" bestFit="1" customWidth="1"/>
    <col min="19" max="19" width="10.8515625" style="0" bestFit="1" customWidth="1"/>
  </cols>
  <sheetData>
    <row r="3" spans="1:7" ht="15">
      <c r="A3" s="5" t="s">
        <v>0</v>
      </c>
      <c r="B3" s="5"/>
      <c r="C3" s="5"/>
      <c r="E3" s="5"/>
      <c r="F3" s="43"/>
      <c r="G3" s="4">
        <f>A17</f>
        <v>6666</v>
      </c>
    </row>
    <row r="4" spans="5:7" ht="15">
      <c r="E4" s="5"/>
      <c r="G4" s="23"/>
    </row>
    <row r="5" spans="1:21" ht="15">
      <c r="A5" s="171">
        <v>1806</v>
      </c>
      <c r="B5" t="s">
        <v>2</v>
      </c>
      <c r="E5" s="172" t="s">
        <v>3</v>
      </c>
      <c r="F5" s="173"/>
      <c r="G5" s="4"/>
      <c r="R5" s="126"/>
      <c r="S5" s="126"/>
      <c r="U5" t="s">
        <v>84</v>
      </c>
    </row>
    <row r="6" spans="4:22" ht="15.75">
      <c r="D6" s="22"/>
      <c r="E6" s="174" t="s">
        <v>86</v>
      </c>
      <c r="F6" s="196"/>
      <c r="G6" s="4">
        <f>G3-F6</f>
        <v>6666</v>
      </c>
      <c r="J6" s="126"/>
      <c r="K6" s="126"/>
      <c r="R6" s="126"/>
      <c r="S6" s="126"/>
      <c r="U6" s="27">
        <v>130</v>
      </c>
      <c r="V6" s="26" t="s">
        <v>85</v>
      </c>
    </row>
    <row r="7" spans="1:19" ht="15.75">
      <c r="A7" s="176">
        <v>302</v>
      </c>
      <c r="B7" t="s">
        <v>4</v>
      </c>
      <c r="D7" s="22"/>
      <c r="E7" s="174" t="s">
        <v>5</v>
      </c>
      <c r="F7" s="175">
        <v>1175</v>
      </c>
      <c r="G7" s="4">
        <f>G6-F7</f>
        <v>5491</v>
      </c>
      <c r="J7" s="193"/>
      <c r="K7" s="193"/>
      <c r="R7" s="125"/>
      <c r="S7" s="126"/>
    </row>
    <row r="8" spans="1:19" ht="15.75">
      <c r="A8" s="104">
        <v>1375</v>
      </c>
      <c r="B8" s="5" t="s">
        <v>9</v>
      </c>
      <c r="C8" s="5"/>
      <c r="D8" s="22"/>
      <c r="E8" s="174" t="s">
        <v>10</v>
      </c>
      <c r="F8" s="177">
        <v>224.5</v>
      </c>
      <c r="G8" s="4">
        <f aca="true" t="shared" si="0" ref="G8:G23">G7-F8</f>
        <v>5266.5</v>
      </c>
      <c r="J8" s="193"/>
      <c r="K8" s="193"/>
      <c r="R8" s="153"/>
      <c r="S8" s="152"/>
    </row>
    <row r="9" spans="1:21" ht="15.75">
      <c r="A9" s="106">
        <v>296</v>
      </c>
      <c r="B9" s="5" t="s">
        <v>11</v>
      </c>
      <c r="C9" s="5"/>
      <c r="E9" s="174" t="s">
        <v>12</v>
      </c>
      <c r="F9" s="178">
        <v>134</v>
      </c>
      <c r="G9" s="4">
        <f t="shared" si="0"/>
        <v>5132.5</v>
      </c>
      <c r="J9" s="193"/>
      <c r="K9" s="193"/>
      <c r="R9" s="153"/>
      <c r="S9" s="126"/>
      <c r="U9" s="13"/>
    </row>
    <row r="10" spans="1:15" ht="19.5">
      <c r="A10" s="106">
        <v>598</v>
      </c>
      <c r="B10" s="5" t="s">
        <v>13</v>
      </c>
      <c r="C10" s="128" t="s">
        <v>95</v>
      </c>
      <c r="D10" s="22"/>
      <c r="E10" s="174" t="s">
        <v>15</v>
      </c>
      <c r="F10" s="177">
        <v>123</v>
      </c>
      <c r="G10" s="4">
        <f t="shared" si="0"/>
        <v>5009.5</v>
      </c>
      <c r="J10" s="193"/>
      <c r="K10" s="193"/>
      <c r="L10" s="197" t="s">
        <v>99</v>
      </c>
      <c r="M10" s="198"/>
      <c r="N10" s="198"/>
      <c r="O10" s="199">
        <v>39.25</v>
      </c>
    </row>
    <row r="11" spans="1:21" ht="16.5">
      <c r="A11" s="106">
        <v>2289</v>
      </c>
      <c r="B11" s="5" t="s">
        <v>16</v>
      </c>
      <c r="C11" s="5"/>
      <c r="D11" s="22"/>
      <c r="E11" s="174" t="s">
        <v>17</v>
      </c>
      <c r="F11" s="178"/>
      <c r="G11" s="4">
        <f t="shared" si="0"/>
        <v>5009.5</v>
      </c>
      <c r="J11" s="193"/>
      <c r="K11" s="193"/>
      <c r="L11" s="200" t="s">
        <v>100</v>
      </c>
      <c r="M11" s="200"/>
      <c r="N11" s="200"/>
      <c r="O11" s="199">
        <v>94.75</v>
      </c>
      <c r="P11" s="33" t="s">
        <v>101</v>
      </c>
      <c r="R11" s="52" t="s">
        <v>89</v>
      </c>
      <c r="S11" s="52" t="s">
        <v>90</v>
      </c>
      <c r="T11" s="52"/>
      <c r="U11" s="52"/>
    </row>
    <row r="12" spans="1:21" ht="16.5">
      <c r="A12" s="104"/>
      <c r="B12" s="5" t="s">
        <v>71</v>
      </c>
      <c r="C12" s="5"/>
      <c r="D12" s="22"/>
      <c r="E12" s="174" t="s">
        <v>19</v>
      </c>
      <c r="F12" s="178"/>
      <c r="G12" s="4">
        <f t="shared" si="0"/>
        <v>5009.5</v>
      </c>
      <c r="J12" s="193"/>
      <c r="K12" s="193"/>
      <c r="L12" s="200" t="s">
        <v>102</v>
      </c>
      <c r="M12" s="201">
        <v>91981090</v>
      </c>
      <c r="N12" s="200"/>
      <c r="O12" s="199"/>
      <c r="R12" s="52"/>
      <c r="S12" s="47">
        <v>82</v>
      </c>
      <c r="T12" s="52"/>
      <c r="U12" s="53"/>
    </row>
    <row r="13" spans="1:21" ht="15.75">
      <c r="A13" s="179"/>
      <c r="B13" s="5"/>
      <c r="C13" s="5"/>
      <c r="D13" s="22"/>
      <c r="E13" s="174" t="s">
        <v>21</v>
      </c>
      <c r="F13" s="177"/>
      <c r="G13" s="4">
        <f t="shared" si="0"/>
        <v>5009.5</v>
      </c>
      <c r="J13" s="193"/>
      <c r="K13" s="193"/>
      <c r="L13" s="202" t="s">
        <v>103</v>
      </c>
      <c r="M13" s="29"/>
      <c r="N13" s="29"/>
      <c r="O13" s="29"/>
      <c r="R13" s="52"/>
      <c r="S13" s="47">
        <v>15.8</v>
      </c>
      <c r="T13" s="52"/>
      <c r="U13" s="52"/>
    </row>
    <row r="14" spans="1:21" ht="15.75">
      <c r="A14" s="180"/>
      <c r="B14" s="181" t="s">
        <v>1</v>
      </c>
      <c r="C14" s="59" t="s">
        <v>65</v>
      </c>
      <c r="D14" s="22"/>
      <c r="E14" s="174" t="s">
        <v>24</v>
      </c>
      <c r="F14" s="177"/>
      <c r="G14" s="4">
        <f t="shared" si="0"/>
        <v>5009.5</v>
      </c>
      <c r="J14" s="193"/>
      <c r="K14" s="193"/>
      <c r="R14" s="52"/>
      <c r="S14" s="47">
        <v>152</v>
      </c>
      <c r="T14" s="52" t="s">
        <v>87</v>
      </c>
      <c r="U14" s="52"/>
    </row>
    <row r="15" spans="1:21" ht="15.75">
      <c r="A15" s="182"/>
      <c r="B15" s="183" t="s">
        <v>73</v>
      </c>
      <c r="C15" s="50"/>
      <c r="D15" s="22"/>
      <c r="E15" s="174" t="s">
        <v>28</v>
      </c>
      <c r="F15" s="175">
        <v>79</v>
      </c>
      <c r="G15" s="4">
        <f t="shared" si="0"/>
        <v>4930.5</v>
      </c>
      <c r="J15" s="193"/>
      <c r="K15" s="193"/>
      <c r="L15" s="194"/>
      <c r="M15" s="29"/>
      <c r="N15" s="29"/>
      <c r="R15" s="26"/>
      <c r="S15" s="122">
        <f>SUM(S12:S14)</f>
        <v>249.8</v>
      </c>
      <c r="T15" s="101" t="s">
        <v>104</v>
      </c>
      <c r="U15" s="26"/>
    </row>
    <row r="16" spans="1:11" ht="15.75">
      <c r="A16" s="184"/>
      <c r="D16" s="22"/>
      <c r="E16" s="174" t="s">
        <v>74</v>
      </c>
      <c r="F16" s="175"/>
      <c r="G16" s="4">
        <f t="shared" si="0"/>
        <v>4930.5</v>
      </c>
      <c r="J16" s="193"/>
      <c r="K16" s="193"/>
    </row>
    <row r="17" spans="1:11" ht="15.75">
      <c r="A17" s="185">
        <f>SUM(A5:A16)</f>
        <v>6666</v>
      </c>
      <c r="D17" s="22"/>
      <c r="E17" s="174" t="s">
        <v>30</v>
      </c>
      <c r="F17" s="178">
        <v>565</v>
      </c>
      <c r="G17" s="4">
        <f t="shared" si="0"/>
        <v>4365.5</v>
      </c>
      <c r="H17" s="132"/>
      <c r="I17" s="162"/>
      <c r="J17" s="193"/>
      <c r="K17" s="193"/>
    </row>
    <row r="18" spans="4:11" ht="15.75">
      <c r="D18" s="22"/>
      <c r="E18" s="186" t="s">
        <v>32</v>
      </c>
      <c r="F18" s="178">
        <v>1500</v>
      </c>
      <c r="G18" s="4">
        <f t="shared" si="0"/>
        <v>2865.5</v>
      </c>
      <c r="H18" s="33"/>
      <c r="J18" s="193"/>
      <c r="K18" s="193"/>
    </row>
    <row r="19" spans="4:11" ht="15.75">
      <c r="D19" s="22"/>
      <c r="E19" s="174" t="s">
        <v>33</v>
      </c>
      <c r="F19" s="187">
        <v>500</v>
      </c>
      <c r="G19" s="4">
        <f t="shared" si="0"/>
        <v>2365.5</v>
      </c>
      <c r="I19" s="131"/>
      <c r="J19" s="193"/>
      <c r="K19" s="193"/>
    </row>
    <row r="20" spans="4:11" ht="15.75">
      <c r="D20" s="22"/>
      <c r="E20" s="174" t="s">
        <v>34</v>
      </c>
      <c r="F20" s="188">
        <v>451</v>
      </c>
      <c r="G20" s="4">
        <f t="shared" si="0"/>
        <v>1914.5</v>
      </c>
      <c r="H20" s="131"/>
      <c r="J20" s="193"/>
      <c r="K20" s="193"/>
    </row>
    <row r="21" spans="2:11" ht="15.75">
      <c r="B21" s="43"/>
      <c r="D21" s="22"/>
      <c r="E21" s="189" t="s">
        <v>35</v>
      </c>
      <c r="F21" s="175">
        <v>189</v>
      </c>
      <c r="G21" s="4">
        <f t="shared" si="0"/>
        <v>1725.5</v>
      </c>
      <c r="J21" s="193"/>
      <c r="K21" s="193"/>
    </row>
    <row r="22" spans="2:20" ht="15.75">
      <c r="B22" s="43"/>
      <c r="D22" s="190"/>
      <c r="E22" s="191" t="s">
        <v>37</v>
      </c>
      <c r="F22" s="177">
        <v>100</v>
      </c>
      <c r="G22" s="4">
        <f t="shared" si="0"/>
        <v>1625.5</v>
      </c>
      <c r="J22" s="193"/>
      <c r="K22" s="193"/>
      <c r="O22" s="125"/>
      <c r="P22" s="126"/>
      <c r="Q22" s="126"/>
      <c r="R22" s="126"/>
      <c r="S22" s="126"/>
      <c r="T22" s="126"/>
    </row>
    <row r="23" spans="4:20" ht="16.5">
      <c r="D23" s="22"/>
      <c r="E23" s="10" t="s">
        <v>38</v>
      </c>
      <c r="F23" s="193"/>
      <c r="G23" s="4">
        <f t="shared" si="0"/>
        <v>1625.5</v>
      </c>
      <c r="H23" s="33"/>
      <c r="J23" s="193"/>
      <c r="K23" s="193"/>
      <c r="O23" s="203"/>
      <c r="P23" s="126"/>
      <c r="Q23" s="203"/>
      <c r="R23" s="205"/>
      <c r="S23" s="203"/>
      <c r="T23" s="205"/>
    </row>
    <row r="24" spans="4:20" ht="16.5">
      <c r="D24" s="22"/>
      <c r="E24" s="10"/>
      <c r="F24" s="193"/>
      <c r="G24" s="4"/>
      <c r="H24" s="33"/>
      <c r="J24" s="193"/>
      <c r="K24" s="193"/>
      <c r="O24" s="203"/>
      <c r="P24" s="126"/>
      <c r="Q24" s="203"/>
      <c r="R24" s="205"/>
      <c r="S24" s="203"/>
      <c r="T24" s="205"/>
    </row>
    <row r="25" spans="4:20" ht="16.5">
      <c r="D25" s="22"/>
      <c r="F25" s="193"/>
      <c r="G25" s="4"/>
      <c r="H25" s="33"/>
      <c r="O25" s="203"/>
      <c r="P25" s="126"/>
      <c r="Q25" s="203"/>
      <c r="R25" s="205"/>
      <c r="S25" s="203"/>
      <c r="T25" s="205"/>
    </row>
    <row r="26" spans="6:20" ht="16.5">
      <c r="F26" s="193"/>
      <c r="G26" s="4"/>
      <c r="J26" s="26" t="s">
        <v>70</v>
      </c>
      <c r="K26" s="26"/>
      <c r="M26" s="13"/>
      <c r="O26" s="203"/>
      <c r="P26" s="126"/>
      <c r="Q26" s="203"/>
      <c r="R26" s="205"/>
      <c r="S26" s="203"/>
      <c r="T26" s="205"/>
    </row>
    <row r="27" spans="4:20" ht="16.5">
      <c r="D27" s="22"/>
      <c r="F27" s="193"/>
      <c r="G27" s="4"/>
      <c r="J27" s="27"/>
      <c r="K27" s="27"/>
      <c r="O27" s="203"/>
      <c r="P27" s="126"/>
      <c r="Q27" s="203"/>
      <c r="R27" s="205"/>
      <c r="S27" s="203"/>
      <c r="T27" s="205"/>
    </row>
    <row r="28" spans="10:20" ht="15">
      <c r="J28" s="27"/>
      <c r="K28" s="26"/>
      <c r="L28" s="33"/>
      <c r="M28" s="13"/>
      <c r="O28" s="153"/>
      <c r="P28" s="126"/>
      <c r="Q28" s="203"/>
      <c r="R28" s="205"/>
      <c r="S28" s="203"/>
      <c r="T28" s="205"/>
    </row>
    <row r="29" spans="10:20" ht="15">
      <c r="J29" s="27"/>
      <c r="K29" s="28"/>
      <c r="O29" s="126"/>
      <c r="P29" s="126"/>
      <c r="Q29" s="203"/>
      <c r="R29" s="205"/>
      <c r="S29" s="203"/>
      <c r="T29" s="205"/>
    </row>
    <row r="30" spans="10:20" ht="15">
      <c r="J30" s="27"/>
      <c r="K30" s="26"/>
      <c r="O30" s="126"/>
      <c r="P30" s="126"/>
      <c r="Q30" s="203"/>
      <c r="R30" s="205"/>
      <c r="S30" s="205"/>
      <c r="T30" s="205"/>
    </row>
    <row r="31" spans="10:20" ht="12.75">
      <c r="J31" s="27"/>
      <c r="K31" s="26"/>
      <c r="O31" s="126"/>
      <c r="P31" s="126"/>
      <c r="Q31" s="125"/>
      <c r="R31" s="126"/>
      <c r="S31" s="126"/>
      <c r="T31" s="126"/>
    </row>
    <row r="32" spans="10:20" ht="12.75">
      <c r="J32" s="27"/>
      <c r="K32" s="26"/>
      <c r="O32" s="126"/>
      <c r="P32" s="126"/>
      <c r="Q32" s="125"/>
      <c r="R32" s="126"/>
      <c r="S32" s="126"/>
      <c r="T32" s="126"/>
    </row>
    <row r="33" spans="10:20" ht="12.75">
      <c r="J33" s="27"/>
      <c r="K33" s="26"/>
      <c r="O33" s="126"/>
      <c r="P33" s="126"/>
      <c r="Q33" s="126"/>
      <c r="R33" s="126"/>
      <c r="S33" s="126"/>
      <c r="T33" s="126"/>
    </row>
    <row r="34" spans="10:20" ht="12.75">
      <c r="J34" s="27"/>
      <c r="K34" s="26"/>
      <c r="O34" s="126"/>
      <c r="P34" s="126"/>
      <c r="Q34" s="126"/>
      <c r="R34" s="126"/>
      <c r="S34" s="126"/>
      <c r="T34" s="126"/>
    </row>
    <row r="35" spans="10:11" ht="12.75">
      <c r="J35" s="27"/>
      <c r="K35" s="26"/>
    </row>
    <row r="36" spans="10:11" ht="12.75">
      <c r="J36" s="27"/>
      <c r="K36" s="26"/>
    </row>
    <row r="37" spans="10:11" ht="12.75">
      <c r="J37" s="27"/>
      <c r="K37" s="114"/>
    </row>
    <row r="38" spans="10:11" ht="12.75">
      <c r="J38" s="27"/>
      <c r="K38" s="114"/>
    </row>
    <row r="39" spans="10:11" ht="12.75">
      <c r="J39" s="204"/>
      <c r="K39" s="26"/>
    </row>
    <row r="40" spans="10:11" ht="12.75">
      <c r="J40" s="26"/>
      <c r="K40" s="26"/>
    </row>
    <row r="41" spans="10:11" ht="12.75">
      <c r="J41" s="26"/>
      <c r="K41" s="26"/>
    </row>
    <row r="42" spans="10:11" ht="12.75">
      <c r="J42" s="26"/>
      <c r="K42" s="26"/>
    </row>
    <row r="43" spans="10:11" ht="12.75">
      <c r="J43" s="28"/>
      <c r="K43" s="114"/>
    </row>
    <row r="44" spans="10:11" ht="12.75">
      <c r="J44" s="114"/>
      <c r="K44" s="114"/>
    </row>
    <row r="45" spans="10:11" ht="12.75">
      <c r="J45" s="26"/>
      <c r="K45" s="26"/>
    </row>
    <row r="46" spans="10:11" ht="12.75">
      <c r="J46" s="28">
        <f>SUM(J27:J45)</f>
        <v>0</v>
      </c>
      <c r="K46" s="26"/>
    </row>
  </sheetData>
  <sheetProtection/>
  <hyperlinks>
    <hyperlink ref="L13" r:id="rId1" display="www.MyARICPolicy.com"/>
  </hyperlink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32"/>
  <sheetViews>
    <sheetView tabSelected="1" zoomScalePageLayoutView="0" workbookViewId="0" topLeftCell="A4">
      <selection activeCell="J19" sqref="J19"/>
    </sheetView>
  </sheetViews>
  <sheetFormatPr defaultColWidth="9.140625" defaultRowHeight="12.75"/>
  <cols>
    <col min="1" max="1" width="12.7109375" style="0" bestFit="1" customWidth="1"/>
    <col min="2" max="2" width="11.7109375" style="0" bestFit="1" customWidth="1"/>
    <col min="4" max="4" width="8.7109375" style="0" bestFit="1" customWidth="1"/>
    <col min="5" max="5" width="19.57421875" style="0" bestFit="1" customWidth="1"/>
    <col min="6" max="6" width="9.57421875" style="0" bestFit="1" customWidth="1"/>
    <col min="7" max="7" width="10.8515625" style="0" bestFit="1" customWidth="1"/>
    <col min="12" max="12" width="23.7109375" style="0" bestFit="1" customWidth="1"/>
    <col min="18" max="18" width="11.7109375" style="0" bestFit="1" customWidth="1"/>
    <col min="19" max="19" width="15.57421875" style="0" customWidth="1"/>
    <col min="20" max="20" width="7.8515625" style="0" customWidth="1"/>
  </cols>
  <sheetData>
    <row r="2" spans="1:7" ht="15">
      <c r="A2" s="5" t="s">
        <v>0</v>
      </c>
      <c r="B2" s="5"/>
      <c r="C2" s="5"/>
      <c r="E2" s="5"/>
      <c r="F2" s="43"/>
      <c r="G2" s="90">
        <f>A16</f>
        <v>4928</v>
      </c>
    </row>
    <row r="3" ht="15">
      <c r="E3" s="5"/>
    </row>
    <row r="4" spans="1:7" ht="15">
      <c r="A4" s="171"/>
      <c r="B4" t="s">
        <v>2</v>
      </c>
      <c r="E4" s="172" t="s">
        <v>3</v>
      </c>
      <c r="F4" s="173"/>
      <c r="G4" s="90"/>
    </row>
    <row r="5" spans="4:21" ht="15.75">
      <c r="D5" s="22"/>
      <c r="E5" s="174" t="s">
        <v>86</v>
      </c>
      <c r="F5" s="175"/>
      <c r="G5" s="90">
        <f>G2-F5</f>
        <v>4928</v>
      </c>
      <c r="R5" t="s">
        <v>105</v>
      </c>
      <c r="U5" t="s">
        <v>84</v>
      </c>
    </row>
    <row r="6" spans="1:22" ht="15.75">
      <c r="A6" s="176">
        <v>302</v>
      </c>
      <c r="B6" t="s">
        <v>4</v>
      </c>
      <c r="D6" s="22"/>
      <c r="E6" s="174" t="s">
        <v>5</v>
      </c>
      <c r="F6" s="175">
        <v>1175</v>
      </c>
      <c r="G6" s="90">
        <f>G5-F6</f>
        <v>3753</v>
      </c>
      <c r="L6" s="194" t="s">
        <v>106</v>
      </c>
      <c r="M6" s="29"/>
      <c r="O6" s="195">
        <f>M6+M7+M8</f>
        <v>0</v>
      </c>
      <c r="U6" s="27">
        <v>175</v>
      </c>
      <c r="V6" s="26" t="s">
        <v>85</v>
      </c>
    </row>
    <row r="7" spans="1:19" ht="15.75">
      <c r="A7" s="104">
        <v>1375</v>
      </c>
      <c r="B7" s="5" t="s">
        <v>9</v>
      </c>
      <c r="C7" s="5"/>
      <c r="D7" s="22"/>
      <c r="E7" s="174" t="s">
        <v>10</v>
      </c>
      <c r="F7" s="177">
        <v>170.5</v>
      </c>
      <c r="G7" s="90">
        <f aca="true" t="shared" si="0" ref="G7:G23">G6-F7</f>
        <v>3582.5</v>
      </c>
      <c r="I7" s="43">
        <f>F7-54</f>
        <v>116.5</v>
      </c>
      <c r="L7" s="194" t="s">
        <v>106</v>
      </c>
      <c r="M7" s="29"/>
      <c r="R7" s="27"/>
      <c r="S7" s="26" t="s">
        <v>87</v>
      </c>
    </row>
    <row r="8" spans="1:19" ht="15.75">
      <c r="A8" s="106">
        <v>296</v>
      </c>
      <c r="B8" s="5" t="s">
        <v>11</v>
      </c>
      <c r="C8" s="5"/>
      <c r="D8" s="22"/>
      <c r="E8" s="174" t="s">
        <v>12</v>
      </c>
      <c r="F8" s="178">
        <v>138</v>
      </c>
      <c r="G8" s="90">
        <f t="shared" si="0"/>
        <v>3444.5</v>
      </c>
      <c r="L8" s="194" t="s">
        <v>107</v>
      </c>
      <c r="M8" s="29"/>
      <c r="R8" s="28"/>
      <c r="S8" s="101" t="s">
        <v>88</v>
      </c>
    </row>
    <row r="9" spans="1:13" ht="15.75">
      <c r="A9" s="106">
        <v>598</v>
      </c>
      <c r="B9" s="5" t="s">
        <v>13</v>
      </c>
      <c r="C9" s="128" t="s">
        <v>95</v>
      </c>
      <c r="D9" s="22"/>
      <c r="E9" s="174" t="s">
        <v>15</v>
      </c>
      <c r="F9" s="177">
        <v>121</v>
      </c>
      <c r="G9" s="90">
        <f t="shared" si="0"/>
        <v>3323.5</v>
      </c>
      <c r="L9" s="5" t="s">
        <v>108</v>
      </c>
      <c r="M9" s="193">
        <v>400</v>
      </c>
    </row>
    <row r="10" spans="1:7" ht="15.75">
      <c r="A10" s="106">
        <v>2289</v>
      </c>
      <c r="B10" s="5" t="s">
        <v>16</v>
      </c>
      <c r="C10" s="5"/>
      <c r="D10" s="22"/>
      <c r="E10" s="174" t="s">
        <v>17</v>
      </c>
      <c r="F10" s="178"/>
      <c r="G10" s="90">
        <f t="shared" si="0"/>
        <v>3323.5</v>
      </c>
    </row>
    <row r="11" spans="1:21" ht="15.75">
      <c r="A11" s="104"/>
      <c r="B11" s="5" t="s">
        <v>71</v>
      </c>
      <c r="C11" s="5"/>
      <c r="D11" s="22"/>
      <c r="E11" s="174" t="s">
        <v>109</v>
      </c>
      <c r="F11" s="178"/>
      <c r="G11" s="90">
        <f t="shared" si="0"/>
        <v>3323.5</v>
      </c>
      <c r="L11" s="194" t="s">
        <v>110</v>
      </c>
      <c r="M11" t="s">
        <v>361</v>
      </c>
      <c r="R11" s="52" t="s">
        <v>89</v>
      </c>
      <c r="S11" s="52" t="s">
        <v>90</v>
      </c>
      <c r="T11" s="52"/>
      <c r="U11" s="52"/>
    </row>
    <row r="12" spans="1:21" ht="15.75">
      <c r="A12" s="179">
        <v>68</v>
      </c>
      <c r="B12" s="5" t="s">
        <v>403</v>
      </c>
      <c r="C12" s="5"/>
      <c r="D12" s="22"/>
      <c r="E12" s="174" t="s">
        <v>21</v>
      </c>
      <c r="F12" s="177"/>
      <c r="G12" s="90">
        <f t="shared" si="0"/>
        <v>3323.5</v>
      </c>
      <c r="R12" s="52"/>
      <c r="S12" s="47">
        <v>51.63</v>
      </c>
      <c r="T12" s="52"/>
      <c r="U12" s="53"/>
    </row>
    <row r="13" spans="1:21" ht="15.75">
      <c r="A13" s="180"/>
      <c r="B13" s="181" t="s">
        <v>1</v>
      </c>
      <c r="C13" s="44" t="s">
        <v>27</v>
      </c>
      <c r="D13" s="22"/>
      <c r="E13" s="174" t="s">
        <v>24</v>
      </c>
      <c r="F13" s="177"/>
      <c r="G13" s="90">
        <f t="shared" si="0"/>
        <v>3323.5</v>
      </c>
      <c r="L13" s="162"/>
      <c r="M13" s="132"/>
      <c r="N13" s="132"/>
      <c r="R13" s="52"/>
      <c r="S13" s="47">
        <v>15.8</v>
      </c>
      <c r="T13" s="52"/>
      <c r="U13" s="52"/>
    </row>
    <row r="14" spans="1:21" ht="15.75">
      <c r="A14" s="182"/>
      <c r="B14" s="183" t="s">
        <v>73</v>
      </c>
      <c r="C14" s="50"/>
      <c r="D14" s="22"/>
      <c r="E14" s="174" t="s">
        <v>28</v>
      </c>
      <c r="F14" s="175">
        <v>79</v>
      </c>
      <c r="G14" s="90">
        <f t="shared" si="0"/>
        <v>3244.5</v>
      </c>
      <c r="R14" s="52"/>
      <c r="S14" s="47">
        <v>139</v>
      </c>
      <c r="T14" s="52" t="s">
        <v>87</v>
      </c>
      <c r="U14" s="52"/>
    </row>
    <row r="15" spans="1:21" ht="15.75">
      <c r="A15" s="184"/>
      <c r="B15" s="50"/>
      <c r="D15" s="22"/>
      <c r="E15" s="174" t="s">
        <v>74</v>
      </c>
      <c r="F15" s="175"/>
      <c r="G15" s="90">
        <f t="shared" si="0"/>
        <v>3244.5</v>
      </c>
      <c r="H15" s="128"/>
      <c r="R15" s="26"/>
      <c r="S15" s="122">
        <f>SUM(S12:S14)</f>
        <v>206.43</v>
      </c>
      <c r="T15" s="101" t="s">
        <v>104</v>
      </c>
      <c r="U15" s="26"/>
    </row>
    <row r="16" spans="1:9" ht="15.75">
      <c r="A16" s="185">
        <f>SUM(A4:A15)</f>
        <v>4928</v>
      </c>
      <c r="D16" s="22"/>
      <c r="E16" s="174" t="s">
        <v>30</v>
      </c>
      <c r="F16" s="178">
        <v>1200</v>
      </c>
      <c r="G16" s="90">
        <f t="shared" si="0"/>
        <v>2044.5</v>
      </c>
      <c r="I16" s="33"/>
    </row>
    <row r="17" spans="4:7" ht="15.75">
      <c r="D17" s="22"/>
      <c r="E17" s="186" t="s">
        <v>32</v>
      </c>
      <c r="F17" s="178"/>
      <c r="G17" s="90">
        <f t="shared" si="0"/>
        <v>2044.5</v>
      </c>
    </row>
    <row r="18" spans="4:8" ht="15.75">
      <c r="D18" s="22"/>
      <c r="E18" s="174" t="s">
        <v>33</v>
      </c>
      <c r="F18" s="187">
        <v>500</v>
      </c>
      <c r="G18" s="90">
        <f t="shared" si="0"/>
        <v>1544.5</v>
      </c>
      <c r="H18" s="33"/>
    </row>
    <row r="19" spans="4:8" ht="15.75">
      <c r="D19" s="22"/>
      <c r="E19" s="174" t="s">
        <v>34</v>
      </c>
      <c r="F19" s="188">
        <v>451</v>
      </c>
      <c r="G19" s="90">
        <f t="shared" si="0"/>
        <v>1093.5</v>
      </c>
      <c r="H19" s="33" t="s">
        <v>386</v>
      </c>
    </row>
    <row r="20" spans="2:7" ht="15.75">
      <c r="B20" s="43"/>
      <c r="D20" s="22"/>
      <c r="E20" s="189" t="s">
        <v>35</v>
      </c>
      <c r="F20" s="175">
        <v>189</v>
      </c>
      <c r="G20" s="90">
        <f t="shared" si="0"/>
        <v>904.5</v>
      </c>
    </row>
    <row r="21" spans="2:7" ht="15.75">
      <c r="B21" s="43"/>
      <c r="D21" s="190"/>
      <c r="E21" s="191" t="s">
        <v>37</v>
      </c>
      <c r="F21" s="177">
        <v>100</v>
      </c>
      <c r="G21" s="90">
        <f t="shared" si="0"/>
        <v>804.5</v>
      </c>
    </row>
    <row r="22" spans="2:11" ht="15.75">
      <c r="B22" s="26" t="s">
        <v>111</v>
      </c>
      <c r="C22" s="26"/>
      <c r="E22" s="192"/>
      <c r="F22" s="90"/>
      <c r="G22" s="90"/>
      <c r="H22" s="33"/>
      <c r="K22" s="23"/>
    </row>
    <row r="23" spans="2:8" ht="15.75">
      <c r="B23" s="26"/>
      <c r="C23" s="26"/>
      <c r="D23" s="22"/>
      <c r="E23" s="189"/>
      <c r="F23" s="193"/>
      <c r="G23" s="90"/>
      <c r="H23" s="33"/>
    </row>
    <row r="24" spans="2:8" ht="15">
      <c r="B24" s="26"/>
      <c r="C24" s="26"/>
      <c r="D24" s="22"/>
      <c r="E24" s="33"/>
      <c r="F24" s="193"/>
      <c r="G24" s="90"/>
      <c r="H24" s="5"/>
    </row>
    <row r="25" spans="2:11" ht="15">
      <c r="B25" s="26"/>
      <c r="C25" s="26"/>
      <c r="D25" s="22"/>
      <c r="E25" s="5"/>
      <c r="F25" s="5"/>
      <c r="G25" s="90"/>
      <c r="H25" s="5"/>
      <c r="K25" s="13"/>
    </row>
    <row r="26" spans="2:8" ht="15">
      <c r="B26" s="26"/>
      <c r="C26" s="26"/>
      <c r="D26" s="22"/>
      <c r="E26" s="5"/>
      <c r="F26" s="5"/>
      <c r="G26" s="90"/>
      <c r="H26" s="5"/>
    </row>
    <row r="27" spans="4:8" ht="15">
      <c r="D27" s="22"/>
      <c r="E27" s="5"/>
      <c r="F27" s="4"/>
      <c r="G27" s="90"/>
      <c r="H27" s="5"/>
    </row>
    <row r="28" spans="4:8" ht="15">
      <c r="D28" s="22"/>
      <c r="E28" s="5"/>
      <c r="F28" s="5"/>
      <c r="G28" s="90"/>
      <c r="H28" s="5"/>
    </row>
    <row r="29" spans="4:8" ht="15">
      <c r="D29" s="22"/>
      <c r="E29" s="5"/>
      <c r="F29" s="5"/>
      <c r="G29" s="90"/>
      <c r="H29" s="5"/>
    </row>
    <row r="30" spans="4:8" ht="15">
      <c r="D30" s="22"/>
      <c r="E30" s="5"/>
      <c r="F30" s="4"/>
      <c r="G30" s="90"/>
      <c r="H30" s="5"/>
    </row>
    <row r="31" spans="4:7" ht="15">
      <c r="D31" s="22"/>
      <c r="E31" s="5"/>
      <c r="F31" s="4"/>
      <c r="G31" s="90"/>
    </row>
    <row r="32" spans="4:7" ht="15">
      <c r="D32" s="22"/>
      <c r="E32" s="5"/>
      <c r="F32" s="23"/>
      <c r="G32" s="90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H59"/>
  <sheetViews>
    <sheetView zoomScalePageLayoutView="0" workbookViewId="0" topLeftCell="A10">
      <selection activeCell="C2" sqref="C2"/>
    </sheetView>
  </sheetViews>
  <sheetFormatPr defaultColWidth="9.140625" defaultRowHeight="12.75"/>
  <cols>
    <col min="1" max="1" width="9.57421875" style="0" customWidth="1"/>
    <col min="2" max="2" width="15.57421875" style="0" customWidth="1"/>
    <col min="3" max="3" width="12.8515625" style="0" bestFit="1" customWidth="1"/>
    <col min="4" max="5" width="14.28125" style="0" bestFit="1" customWidth="1"/>
    <col min="6" max="6" width="17.00390625" style="0" bestFit="1" customWidth="1"/>
    <col min="7" max="7" width="14.00390625" style="0" bestFit="1" customWidth="1"/>
    <col min="8" max="8" width="15.00390625" style="0" bestFit="1" customWidth="1"/>
    <col min="9" max="9" width="14.28125" style="0" bestFit="1" customWidth="1"/>
    <col min="10" max="10" width="15.57421875" style="0" bestFit="1" customWidth="1"/>
    <col min="11" max="11" width="15.140625" style="0" bestFit="1" customWidth="1"/>
    <col min="12" max="12" width="11.57421875" style="0" bestFit="1" customWidth="1"/>
    <col min="13" max="13" width="12.8515625" style="0" bestFit="1" customWidth="1"/>
    <col min="14" max="14" width="10.28125" style="0" bestFit="1" customWidth="1"/>
    <col min="15" max="15" width="12.8515625" style="0" bestFit="1" customWidth="1"/>
    <col min="16" max="16" width="11.57421875" style="0" bestFit="1" customWidth="1"/>
    <col min="17" max="17" width="14.00390625" style="0" bestFit="1" customWidth="1"/>
    <col min="18" max="18" width="11.57421875" style="0" bestFit="1" customWidth="1"/>
    <col min="19" max="19" width="5.140625" style="0" customWidth="1"/>
    <col min="20" max="20" width="11.57421875" style="0" bestFit="1" customWidth="1"/>
    <col min="21" max="21" width="13.57421875" style="0" bestFit="1" customWidth="1"/>
    <col min="24" max="24" width="9.8515625" style="0" bestFit="1" customWidth="1"/>
  </cols>
  <sheetData>
    <row r="2" spans="1:21" ht="15.75">
      <c r="A2" s="362"/>
      <c r="B2" s="363">
        <v>11599</v>
      </c>
      <c r="C2" s="364" t="s">
        <v>114</v>
      </c>
      <c r="D2" s="364"/>
      <c r="E2" s="365"/>
      <c r="F2" s="361"/>
      <c r="G2" s="345"/>
      <c r="H2" s="366">
        <f>B2+K3</f>
        <v>18852</v>
      </c>
      <c r="I2" s="345"/>
      <c r="J2" s="367"/>
      <c r="K2" s="368" t="s">
        <v>115</v>
      </c>
      <c r="L2" s="369">
        <v>0</v>
      </c>
      <c r="M2" s="359"/>
      <c r="N2" s="351"/>
      <c r="O2" s="361"/>
      <c r="Q2" s="94"/>
      <c r="R2" s="127"/>
      <c r="U2" s="13"/>
    </row>
    <row r="3" spans="1:17" ht="15.75">
      <c r="A3" s="370" t="s">
        <v>124</v>
      </c>
      <c r="B3" s="371"/>
      <c r="C3" s="372"/>
      <c r="D3" s="346" t="s">
        <v>177</v>
      </c>
      <c r="E3" s="373"/>
      <c r="F3" s="345"/>
      <c r="G3" s="374"/>
      <c r="H3" s="375"/>
      <c r="I3" s="345"/>
      <c r="J3" s="376"/>
      <c r="K3" s="355">
        <v>7253</v>
      </c>
      <c r="L3" s="377" t="s">
        <v>116</v>
      </c>
      <c r="M3" s="359" t="s">
        <v>117</v>
      </c>
      <c r="N3" s="359"/>
      <c r="O3" s="359"/>
      <c r="Q3" s="52"/>
    </row>
    <row r="4" spans="1:18" ht="15.75">
      <c r="A4" s="370" t="s">
        <v>125</v>
      </c>
      <c r="B4" s="378"/>
      <c r="C4" s="372"/>
      <c r="D4" s="379" t="s">
        <v>178</v>
      </c>
      <c r="E4" s="380"/>
      <c r="F4" s="381">
        <v>42856</v>
      </c>
      <c r="G4" s="374"/>
      <c r="H4" s="375"/>
      <c r="I4" s="345"/>
      <c r="J4" s="376"/>
      <c r="K4" s="361"/>
      <c r="L4" s="367"/>
      <c r="M4" s="382"/>
      <c r="N4" s="351"/>
      <c r="O4" s="383"/>
      <c r="Q4" s="47"/>
      <c r="R4" s="33"/>
    </row>
    <row r="5" spans="1:18" ht="15.75">
      <c r="A5" s="370" t="s">
        <v>126</v>
      </c>
      <c r="B5" s="350"/>
      <c r="C5" s="372"/>
      <c r="D5" s="346" t="s">
        <v>179</v>
      </c>
      <c r="E5" s="384">
        <v>0</v>
      </c>
      <c r="F5" s="351">
        <v>6633</v>
      </c>
      <c r="G5" s="385" t="s">
        <v>180</v>
      </c>
      <c r="H5" s="348"/>
      <c r="I5" s="345"/>
      <c r="J5" s="376" t="s">
        <v>118</v>
      </c>
      <c r="K5" s="351"/>
      <c r="L5" s="355"/>
      <c r="M5" s="351"/>
      <c r="N5" s="455"/>
      <c r="O5" s="359"/>
      <c r="P5" t="s">
        <v>181</v>
      </c>
      <c r="Q5" s="47"/>
      <c r="R5" s="123"/>
    </row>
    <row r="6" spans="1:21" ht="15.75">
      <c r="A6" s="370" t="s">
        <v>249</v>
      </c>
      <c r="B6" s="371"/>
      <c r="C6" s="372"/>
      <c r="D6" s="458" t="s">
        <v>246</v>
      </c>
      <c r="E6" s="387"/>
      <c r="F6" s="351">
        <v>130</v>
      </c>
      <c r="G6" s="388" t="s">
        <v>85</v>
      </c>
      <c r="H6" s="348"/>
      <c r="I6" s="389"/>
      <c r="J6" s="376" t="s">
        <v>119</v>
      </c>
      <c r="K6" s="351"/>
      <c r="L6" s="355"/>
      <c r="M6" s="355"/>
      <c r="N6" s="465"/>
      <c r="O6" s="359"/>
      <c r="Q6" s="47"/>
      <c r="R6" s="123"/>
      <c r="S6" s="125"/>
      <c r="T6" s="152"/>
      <c r="U6" s="13"/>
    </row>
    <row r="7" spans="1:20" ht="15.75">
      <c r="A7" s="472" t="s">
        <v>129</v>
      </c>
      <c r="B7" s="371"/>
      <c r="C7" s="372"/>
      <c r="D7" s="482"/>
      <c r="E7" s="391"/>
      <c r="F7" s="351"/>
      <c r="G7" s="388"/>
      <c r="H7" s="388"/>
      <c r="I7" s="345"/>
      <c r="J7" s="376" t="s">
        <v>120</v>
      </c>
      <c r="K7" s="392"/>
      <c r="L7" s="355"/>
      <c r="M7" s="355"/>
      <c r="N7" s="393"/>
      <c r="O7" s="361"/>
      <c r="Q7" s="130"/>
      <c r="R7" s="123"/>
      <c r="S7" s="125"/>
      <c r="T7" s="125"/>
    </row>
    <row r="8" spans="1:20" ht="15.75">
      <c r="A8" s="370" t="s">
        <v>154</v>
      </c>
      <c r="B8" s="371"/>
      <c r="C8" s="372"/>
      <c r="E8" s="379"/>
      <c r="F8" s="394"/>
      <c r="G8" s="385"/>
      <c r="H8" s="348"/>
      <c r="I8" s="345"/>
      <c r="J8" s="395" t="s">
        <v>121</v>
      </c>
      <c r="K8" s="392"/>
      <c r="L8" s="355"/>
      <c r="M8" s="355">
        <v>2800</v>
      </c>
      <c r="N8" s="443" t="s">
        <v>400</v>
      </c>
      <c r="O8" s="396" t="s">
        <v>401</v>
      </c>
      <c r="Q8" s="130"/>
      <c r="R8" s="123"/>
      <c r="S8" s="153"/>
      <c r="T8" s="125"/>
    </row>
    <row r="9" spans="1:21" ht="15.75">
      <c r="A9" s="370" t="s">
        <v>155</v>
      </c>
      <c r="B9" s="371"/>
      <c r="C9" s="372"/>
      <c r="D9" s="400" t="s">
        <v>182</v>
      </c>
      <c r="E9" s="397"/>
      <c r="F9" s="398">
        <v>6763</v>
      </c>
      <c r="G9" s="399">
        <v>42948</v>
      </c>
      <c r="H9" s="393"/>
      <c r="I9" s="348"/>
      <c r="J9" s="395" t="s">
        <v>122</v>
      </c>
      <c r="K9" s="392"/>
      <c r="L9" s="355"/>
      <c r="M9" s="461">
        <v>500</v>
      </c>
      <c r="N9" s="383"/>
      <c r="O9" s="396"/>
      <c r="Q9" s="105"/>
      <c r="R9" s="123"/>
      <c r="S9" s="153"/>
      <c r="T9" s="154"/>
      <c r="U9" s="13"/>
    </row>
    <row r="10" spans="1:21" ht="15.75">
      <c r="A10" s="349" t="s">
        <v>250</v>
      </c>
      <c r="B10" s="390"/>
      <c r="C10" s="372"/>
      <c r="E10" s="401"/>
      <c r="F10" s="398"/>
      <c r="G10" s="386">
        <v>2030</v>
      </c>
      <c r="H10" s="393" t="s">
        <v>77</v>
      </c>
      <c r="I10" s="345"/>
      <c r="J10" s="395" t="s">
        <v>123</v>
      </c>
      <c r="K10" s="392"/>
      <c r="L10" s="355"/>
      <c r="M10" s="351"/>
      <c r="N10" s="443"/>
      <c r="O10" s="396"/>
      <c r="Q10" s="155"/>
      <c r="R10" s="125"/>
      <c r="S10" s="126"/>
      <c r="T10" s="125"/>
      <c r="U10" s="33"/>
    </row>
    <row r="11" spans="1:22" ht="15.75">
      <c r="A11" s="402" t="s">
        <v>120</v>
      </c>
      <c r="B11" s="355">
        <v>600</v>
      </c>
      <c r="C11" s="483">
        <v>180</v>
      </c>
      <c r="D11" s="403"/>
      <c r="E11" s="380"/>
      <c r="F11" s="404"/>
      <c r="G11" s="386">
        <v>80</v>
      </c>
      <c r="H11" s="383" t="s">
        <v>85</v>
      </c>
      <c r="I11" s="345"/>
      <c r="J11" s="460" t="s">
        <v>124</v>
      </c>
      <c r="K11" s="392"/>
      <c r="L11" s="355"/>
      <c r="M11" s="355"/>
      <c r="N11" s="442"/>
      <c r="P11" t="s">
        <v>184</v>
      </c>
      <c r="Q11" s="155"/>
      <c r="R11" s="125"/>
      <c r="S11" s="13"/>
      <c r="V11" s="13"/>
    </row>
    <row r="12" spans="1:18" ht="15.75">
      <c r="A12" s="402" t="s">
        <v>121</v>
      </c>
      <c r="B12" s="355">
        <v>500</v>
      </c>
      <c r="C12" s="483">
        <v>180</v>
      </c>
      <c r="D12" s="403"/>
      <c r="E12" s="406"/>
      <c r="F12" s="363"/>
      <c r="G12" s="407">
        <v>2160</v>
      </c>
      <c r="H12" s="383"/>
      <c r="I12" s="345"/>
      <c r="J12" s="460" t="s">
        <v>125</v>
      </c>
      <c r="K12" s="392"/>
      <c r="L12" s="355"/>
      <c r="M12" s="360"/>
      <c r="N12" s="386"/>
      <c r="O12" s="359"/>
      <c r="Q12" s="155"/>
      <c r="R12" s="125"/>
    </row>
    <row r="13" spans="1:21" ht="15.75">
      <c r="A13" s="402" t="s">
        <v>122</v>
      </c>
      <c r="B13" s="355"/>
      <c r="C13" s="483"/>
      <c r="D13" s="346"/>
      <c r="E13" s="406"/>
      <c r="H13" s="348"/>
      <c r="I13" s="345"/>
      <c r="J13" s="460" t="s">
        <v>126</v>
      </c>
      <c r="K13" s="392"/>
      <c r="L13" s="355"/>
      <c r="M13" s="351"/>
      <c r="N13" s="386"/>
      <c r="O13" s="383"/>
      <c r="Q13" s="156"/>
      <c r="R13" s="123"/>
      <c r="U13" s="105"/>
    </row>
    <row r="14" spans="1:34" ht="15.75">
      <c r="A14" s="402" t="s">
        <v>123</v>
      </c>
      <c r="B14" s="355"/>
      <c r="C14" s="355"/>
      <c r="D14" s="403"/>
      <c r="E14" s="340"/>
      <c r="H14" s="348"/>
      <c r="I14" s="345"/>
      <c r="J14" s="460" t="s">
        <v>128</v>
      </c>
      <c r="K14" s="361"/>
      <c r="L14" s="355"/>
      <c r="M14" s="351"/>
      <c r="N14" s="409" t="s">
        <v>69</v>
      </c>
      <c r="Q14" s="331"/>
      <c r="R14" s="123"/>
      <c r="U14" s="105"/>
      <c r="Y14" s="23"/>
      <c r="AB14" s="23"/>
      <c r="AC14" s="23"/>
      <c r="AD14" s="23"/>
      <c r="AF14" s="23"/>
      <c r="AG14" s="13"/>
      <c r="AH14" s="13"/>
    </row>
    <row r="15" spans="1:32" ht="15.75">
      <c r="A15" s="410"/>
      <c r="B15" s="461"/>
      <c r="C15" s="461"/>
      <c r="D15" s="411" t="s">
        <v>185</v>
      </c>
      <c r="E15" s="456">
        <v>43191</v>
      </c>
      <c r="F15" s="348"/>
      <c r="H15" s="348"/>
      <c r="I15" s="345"/>
      <c r="J15" s="460" t="s">
        <v>129</v>
      </c>
      <c r="K15" s="392"/>
      <c r="L15" s="355"/>
      <c r="M15" s="351"/>
      <c r="N15" s="409"/>
      <c r="Q15" s="157"/>
      <c r="R15" s="123" t="s">
        <v>44</v>
      </c>
      <c r="U15" s="158"/>
      <c r="Y15" s="23"/>
      <c r="AB15" s="23"/>
      <c r="AC15" s="23"/>
      <c r="AD15" s="23"/>
      <c r="AF15" s="23"/>
    </row>
    <row r="16" spans="1:32" ht="15.75">
      <c r="A16" s="367"/>
      <c r="B16" s="412">
        <f>SUM(B3:B15)</f>
        <v>1100</v>
      </c>
      <c r="C16" s="408">
        <f>SUM(C6:C15)</f>
        <v>360</v>
      </c>
      <c r="D16" s="380"/>
      <c r="E16" s="351">
        <v>80</v>
      </c>
      <c r="F16" s="348" t="s">
        <v>127</v>
      </c>
      <c r="H16" s="361"/>
      <c r="I16" s="345"/>
      <c r="J16" s="460" t="s">
        <v>130</v>
      </c>
      <c r="K16" s="367"/>
      <c r="L16" s="355"/>
      <c r="M16" s="351"/>
      <c r="N16" s="409"/>
      <c r="O16" s="405" t="s">
        <v>183</v>
      </c>
      <c r="R16" s="27">
        <v>4585</v>
      </c>
      <c r="U16" s="159"/>
      <c r="V16" s="160"/>
      <c r="Y16" s="23"/>
      <c r="AB16" s="23"/>
      <c r="AC16" s="23"/>
      <c r="AD16" s="23"/>
      <c r="AF16" s="23"/>
    </row>
    <row r="17" spans="1:32" ht="15.75">
      <c r="A17" s="346"/>
      <c r="B17" s="413"/>
      <c r="C17" s="414"/>
      <c r="D17" s="342"/>
      <c r="E17" s="351">
        <v>2330</v>
      </c>
      <c r="F17" s="457" t="s">
        <v>245</v>
      </c>
      <c r="H17" s="388"/>
      <c r="I17" s="345"/>
      <c r="J17" s="367"/>
      <c r="K17" s="359"/>
      <c r="L17" s="415">
        <f>SUM(L5:L16)</f>
        <v>0</v>
      </c>
      <c r="M17" s="415">
        <f>SUM(M5:M16)</f>
        <v>3300</v>
      </c>
      <c r="N17" s="359"/>
      <c r="O17" s="359"/>
      <c r="Q17" s="23"/>
      <c r="R17" s="100">
        <f>R16*0.24</f>
        <v>1100.3999999999999</v>
      </c>
      <c r="U17" s="161"/>
      <c r="V17" s="125"/>
      <c r="Y17" s="13"/>
      <c r="AB17" s="23"/>
      <c r="AC17" s="23"/>
      <c r="AD17" s="23"/>
      <c r="AF17" s="23"/>
    </row>
    <row r="18" spans="1:29" ht="19.5">
      <c r="A18" s="348" t="s">
        <v>131</v>
      </c>
      <c r="B18" s="416">
        <f>B2+C16-B16</f>
        <v>10859</v>
      </c>
      <c r="C18" s="417"/>
      <c r="D18" s="342"/>
      <c r="E18" s="361">
        <f>SUM(E16:E17)</f>
        <v>2410</v>
      </c>
      <c r="F18" s="345"/>
      <c r="G18" s="345"/>
      <c r="H18" s="348"/>
      <c r="I18" s="345"/>
      <c r="J18" s="418">
        <f>K3+L17-M17</f>
        <v>3953</v>
      </c>
      <c r="K18" s="412"/>
      <c r="L18" s="419"/>
      <c r="M18" s="359"/>
      <c r="N18" s="359"/>
      <c r="O18" s="359"/>
      <c r="Q18" s="31"/>
      <c r="R18" s="215">
        <f>R16-R17</f>
        <v>3484.6000000000004</v>
      </c>
      <c r="S18" s="13"/>
      <c r="U18" s="125"/>
      <c r="V18" s="125"/>
      <c r="AB18" s="23"/>
      <c r="AC18" s="23"/>
    </row>
    <row r="19" spans="1:34" ht="16.5" thickBot="1">
      <c r="A19" s="345"/>
      <c r="B19" s="345"/>
      <c r="C19" s="345"/>
      <c r="D19" s="420"/>
      <c r="E19" s="351"/>
      <c r="F19" s="345"/>
      <c r="G19" s="345"/>
      <c r="H19" s="345"/>
      <c r="I19" s="345"/>
      <c r="J19" s="345"/>
      <c r="K19" s="414"/>
      <c r="L19" s="414"/>
      <c r="M19" s="345"/>
      <c r="N19" s="413"/>
      <c r="O19" s="345"/>
      <c r="Q19" s="31"/>
      <c r="R19" s="117"/>
      <c r="S19" s="33"/>
      <c r="U19" s="125"/>
      <c r="V19" s="125"/>
      <c r="AB19" s="23"/>
      <c r="AC19" s="23"/>
      <c r="AD19" s="13"/>
      <c r="AE19" s="13"/>
      <c r="AF19" s="13"/>
      <c r="AH19" s="13"/>
    </row>
    <row r="20" spans="1:34" ht="16.5" thickBot="1">
      <c r="A20" s="345"/>
      <c r="B20" s="413"/>
      <c r="C20" s="345"/>
      <c r="D20" s="345"/>
      <c r="E20" s="345"/>
      <c r="F20" s="345"/>
      <c r="G20" s="345"/>
      <c r="H20" s="421">
        <f>J18+B18</f>
        <v>14812</v>
      </c>
      <c r="I20" s="345"/>
      <c r="J20" s="345"/>
      <c r="K20" s="422"/>
      <c r="L20" s="423"/>
      <c r="M20" s="413"/>
      <c r="N20" s="347">
        <v>0</v>
      </c>
      <c r="O20" s="345"/>
      <c r="Q20" s="144"/>
      <c r="R20" s="152"/>
      <c r="S20" s="33"/>
      <c r="T20" s="13"/>
      <c r="U20" s="163"/>
      <c r="V20" s="125"/>
      <c r="AH20" s="13"/>
    </row>
    <row r="21" spans="1:21" ht="15">
      <c r="A21" s="345"/>
      <c r="B21" s="413"/>
      <c r="C21" s="345"/>
      <c r="D21" s="345"/>
      <c r="E21" s="345"/>
      <c r="F21" s="345"/>
      <c r="G21" s="345"/>
      <c r="H21" s="345"/>
      <c r="I21" s="413"/>
      <c r="J21" s="424"/>
      <c r="K21" s="424"/>
      <c r="L21" s="424"/>
      <c r="M21" s="424"/>
      <c r="N21" s="424"/>
      <c r="O21" s="425"/>
      <c r="Q21" s="144"/>
      <c r="R21" s="51"/>
      <c r="S21" s="51"/>
      <c r="T21" s="51"/>
      <c r="U21" s="51"/>
    </row>
    <row r="22" spans="1:32" ht="15">
      <c r="A22" s="345"/>
      <c r="B22" s="345"/>
      <c r="C22" s="345"/>
      <c r="D22" s="345"/>
      <c r="E22" s="426"/>
      <c r="F22" s="345"/>
      <c r="G22" s="345"/>
      <c r="H22" s="345"/>
      <c r="I22" s="345"/>
      <c r="J22" s="427"/>
      <c r="K22" s="437">
        <v>2017</v>
      </c>
      <c r="L22" s="438"/>
      <c r="M22" s="428"/>
      <c r="N22" s="533">
        <v>42979</v>
      </c>
      <c r="O22" s="539" t="s">
        <v>394</v>
      </c>
      <c r="Q22" s="164"/>
      <c r="R22" s="59"/>
      <c r="S22" s="51"/>
      <c r="T22" s="51"/>
      <c r="U22" s="51"/>
      <c r="AA22" s="23"/>
      <c r="AF22" s="23"/>
    </row>
    <row r="23" spans="1:32" ht="15">
      <c r="A23" s="359"/>
      <c r="B23" s="359" t="s">
        <v>90</v>
      </c>
      <c r="C23" s="359"/>
      <c r="D23" s="359"/>
      <c r="E23" s="429" t="s">
        <v>55</v>
      </c>
      <c r="F23" s="430"/>
      <c r="G23" s="345"/>
      <c r="H23" s="346"/>
      <c r="I23" s="346"/>
      <c r="J23" s="431"/>
      <c r="K23" s="439" t="s">
        <v>186</v>
      </c>
      <c r="L23" s="437" t="s">
        <v>187</v>
      </c>
      <c r="M23" s="432"/>
      <c r="N23" s="535">
        <v>930</v>
      </c>
      <c r="O23" s="534" t="s">
        <v>391</v>
      </c>
      <c r="Q23" s="144"/>
      <c r="R23" s="59"/>
      <c r="S23" s="51"/>
      <c r="T23" s="51"/>
      <c r="U23" s="51"/>
      <c r="Y23" s="23"/>
      <c r="AA23" s="23"/>
      <c r="AF23" s="23"/>
    </row>
    <row r="24" spans="1:32" ht="15">
      <c r="A24" s="359" t="s">
        <v>55</v>
      </c>
      <c r="B24" s="351">
        <v>82</v>
      </c>
      <c r="C24" s="359"/>
      <c r="D24" s="361"/>
      <c r="E24" s="429" t="s">
        <v>87</v>
      </c>
      <c r="F24" s="430">
        <v>181</v>
      </c>
      <c r="G24" s="345"/>
      <c r="H24" s="346"/>
      <c r="I24" s="346"/>
      <c r="J24" s="431"/>
      <c r="K24" s="438" t="s">
        <v>186</v>
      </c>
      <c r="L24" s="440" t="s">
        <v>188</v>
      </c>
      <c r="M24" s="434"/>
      <c r="N24" s="535">
        <v>465</v>
      </c>
      <c r="O24" s="534" t="s">
        <v>391</v>
      </c>
      <c r="Q24" s="144"/>
      <c r="R24" s="51"/>
      <c r="S24" s="51"/>
      <c r="T24" s="51"/>
      <c r="U24" s="51"/>
      <c r="Y24" s="23"/>
      <c r="AA24" s="23"/>
      <c r="AF24" s="23"/>
    </row>
    <row r="25" spans="1:32" ht="15">
      <c r="A25" s="396" t="s">
        <v>241</v>
      </c>
      <c r="B25" s="351">
        <v>15.8</v>
      </c>
      <c r="C25" s="359"/>
      <c r="D25" s="359"/>
      <c r="E25" s="345"/>
      <c r="F25" s="345"/>
      <c r="G25" s="424"/>
      <c r="H25" s="346"/>
      <c r="I25" s="346"/>
      <c r="J25" s="431"/>
      <c r="K25" s="438"/>
      <c r="L25" s="441"/>
      <c r="M25" s="434"/>
      <c r="N25" s="537">
        <f>SUM(N23:N24)</f>
        <v>1395</v>
      </c>
      <c r="O25" s="534"/>
      <c r="P25" s="23">
        <v>40.46</v>
      </c>
      <c r="Q25" s="144"/>
      <c r="R25" s="51"/>
      <c r="S25" s="51"/>
      <c r="T25" s="51"/>
      <c r="U25" s="51"/>
      <c r="Y25" s="23"/>
      <c r="AA25" s="23"/>
      <c r="AF25" s="23"/>
    </row>
    <row r="26" spans="1:32" ht="15.75">
      <c r="A26" s="359"/>
      <c r="B26" s="435">
        <v>97.8</v>
      </c>
      <c r="C26" s="359" t="s">
        <v>91</v>
      </c>
      <c r="D26" s="359"/>
      <c r="E26" s="345"/>
      <c r="F26" s="413">
        <v>249.8</v>
      </c>
      <c r="G26" s="424"/>
      <c r="H26" s="346"/>
      <c r="I26" s="346"/>
      <c r="J26" s="431"/>
      <c r="K26" s="436"/>
      <c r="L26" s="433"/>
      <c r="M26" s="434"/>
      <c r="N26" s="383"/>
      <c r="O26" s="534"/>
      <c r="P26" s="23">
        <v>2628</v>
      </c>
      <c r="Q26" s="125"/>
      <c r="R26" s="126"/>
      <c r="S26" s="51"/>
      <c r="T26" s="51"/>
      <c r="U26" s="51"/>
      <c r="Y26" s="23"/>
      <c r="AA26" s="23"/>
      <c r="AF26" s="13"/>
    </row>
    <row r="27" spans="1:25" ht="15">
      <c r="A27" s="345"/>
      <c r="B27" s="345"/>
      <c r="C27" s="345"/>
      <c r="D27" s="345"/>
      <c r="E27" s="345"/>
      <c r="F27" s="345"/>
      <c r="G27" s="424"/>
      <c r="H27" s="346"/>
      <c r="I27" s="346"/>
      <c r="J27" s="431"/>
      <c r="K27" s="424"/>
      <c r="L27" s="433"/>
      <c r="M27" s="434"/>
      <c r="N27" s="535">
        <f>155*4</f>
        <v>620</v>
      </c>
      <c r="O27" s="538" t="s">
        <v>393</v>
      </c>
      <c r="P27" s="23">
        <f>SUM(P25:P26)</f>
        <v>2668.46</v>
      </c>
      <c r="Q27" s="144"/>
      <c r="R27" s="51"/>
      <c r="S27" s="51"/>
      <c r="T27" s="165"/>
      <c r="U27" s="44"/>
      <c r="Y27" s="23"/>
    </row>
    <row r="28" spans="1:25" ht="15">
      <c r="A28" s="5"/>
      <c r="B28" s="5"/>
      <c r="C28" s="5"/>
      <c r="D28" s="5"/>
      <c r="E28" s="5"/>
      <c r="F28" s="5"/>
      <c r="G28" s="44"/>
      <c r="J28" s="51"/>
      <c r="K28" s="44"/>
      <c r="L28" s="133"/>
      <c r="M28" s="135"/>
      <c r="N28" s="28">
        <f>N25-N27</f>
        <v>775</v>
      </c>
      <c r="O28" s="536" t="s">
        <v>392</v>
      </c>
      <c r="P28" s="445"/>
      <c r="Q28" s="144"/>
      <c r="R28" s="51"/>
      <c r="S28" s="51"/>
      <c r="T28" s="55"/>
      <c r="U28" s="44"/>
      <c r="Y28" s="23"/>
    </row>
    <row r="29" spans="1:21" ht="15">
      <c r="A29" s="27">
        <v>1193</v>
      </c>
      <c r="B29" s="26" t="s">
        <v>112</v>
      </c>
      <c r="C29" s="26" t="s">
        <v>113</v>
      </c>
      <c r="D29" s="26"/>
      <c r="E29" s="5"/>
      <c r="F29" s="5"/>
      <c r="G29" s="56"/>
      <c r="H29" s="51"/>
      <c r="J29" s="55"/>
      <c r="K29" s="44"/>
      <c r="L29" s="133"/>
      <c r="M29" s="135"/>
      <c r="N29" s="51"/>
      <c r="O29" s="51"/>
      <c r="P29" s="136">
        <f>P27-1662</f>
        <v>1006.46</v>
      </c>
      <c r="Q29" s="166"/>
      <c r="R29" s="144"/>
      <c r="S29" s="51"/>
      <c r="T29" s="55"/>
      <c r="U29" s="44"/>
    </row>
    <row r="30" spans="1:25" ht="15.75">
      <c r="A30" s="109"/>
      <c r="B30" s="110" t="s">
        <v>132</v>
      </c>
      <c r="C30" s="111"/>
      <c r="D30" s="111"/>
      <c r="E30" s="5"/>
      <c r="F30" s="5"/>
      <c r="G30" s="55"/>
      <c r="H30" s="44"/>
      <c r="I30" s="5"/>
      <c r="J30" s="467" t="s">
        <v>261</v>
      </c>
      <c r="K30" s="468">
        <v>251082194</v>
      </c>
      <c r="L30" s="137"/>
      <c r="M30" s="134"/>
      <c r="N30" s="51"/>
      <c r="O30" s="51"/>
      <c r="P30" s="55"/>
      <c r="Q30" s="166"/>
      <c r="R30" s="144"/>
      <c r="S30" s="51"/>
      <c r="T30" s="56"/>
      <c r="U30" s="56"/>
      <c r="Y30" s="13"/>
    </row>
    <row r="31" spans="1:21" ht="15">
      <c r="A31" s="112" t="s">
        <v>124</v>
      </c>
      <c r="B31" s="49"/>
      <c r="C31" s="113"/>
      <c r="D31" s="114"/>
      <c r="E31" s="5"/>
      <c r="F31" s="5"/>
      <c r="G31" s="5"/>
      <c r="H31" s="5"/>
      <c r="I31" s="5"/>
      <c r="J31" s="44"/>
      <c r="K31" s="44"/>
      <c r="L31" s="51"/>
      <c r="M31" s="51"/>
      <c r="N31" s="51"/>
      <c r="O31" s="51"/>
      <c r="P31" s="55"/>
      <c r="Q31" s="51"/>
      <c r="R31" s="144"/>
      <c r="S31" s="51"/>
      <c r="T31" s="56"/>
      <c r="U31" s="44"/>
    </row>
    <row r="32" spans="1:21" ht="15">
      <c r="A32" s="112" t="s">
        <v>125</v>
      </c>
      <c r="B32" s="49"/>
      <c r="C32" s="113"/>
      <c r="D32" s="115"/>
      <c r="J32" s="51"/>
      <c r="K32" s="138"/>
      <c r="L32" s="51"/>
      <c r="M32" s="51"/>
      <c r="N32" s="51"/>
      <c r="O32" s="51"/>
      <c r="P32" s="55"/>
      <c r="Q32" s="51"/>
      <c r="R32" s="144"/>
      <c r="S32" s="51"/>
      <c r="T32" s="167"/>
      <c r="U32" s="51"/>
    </row>
    <row r="33" spans="1:21" ht="15.75">
      <c r="A33" s="112" t="s">
        <v>126</v>
      </c>
      <c r="B33" s="49"/>
      <c r="C33" s="113"/>
      <c r="D33" s="114"/>
      <c r="J33" s="59"/>
      <c r="K33" s="139"/>
      <c r="L33" s="51"/>
      <c r="M33" s="51"/>
      <c r="N33" s="51"/>
      <c r="O33" s="51"/>
      <c r="P33" s="57"/>
      <c r="Q33" s="51"/>
      <c r="R33" s="144"/>
      <c r="S33" s="51"/>
      <c r="T33" s="151"/>
      <c r="U33" s="51"/>
    </row>
    <row r="34" spans="1:21" ht="15">
      <c r="A34" s="112" t="s">
        <v>128</v>
      </c>
      <c r="B34" s="49"/>
      <c r="C34" s="113"/>
      <c r="D34" s="116"/>
      <c r="I34" s="140"/>
      <c r="J34" s="141"/>
      <c r="K34" s="142"/>
      <c r="L34" s="96"/>
      <c r="M34" s="51"/>
      <c r="N34" s="51"/>
      <c r="O34" s="51"/>
      <c r="P34" s="143"/>
      <c r="Q34" s="51"/>
      <c r="R34" s="51"/>
      <c r="S34" s="51"/>
      <c r="T34" s="51"/>
      <c r="U34" s="51"/>
    </row>
    <row r="35" spans="1:21" ht="15">
      <c r="A35" s="112" t="s">
        <v>129</v>
      </c>
      <c r="B35" s="49"/>
      <c r="C35" s="113"/>
      <c r="D35" s="117"/>
      <c r="J35" s="141"/>
      <c r="K35" s="142"/>
      <c r="L35" s="96"/>
      <c r="M35" s="51"/>
      <c r="N35" s="51"/>
      <c r="O35" s="51"/>
      <c r="P35" s="144"/>
      <c r="Q35" s="51"/>
      <c r="R35" s="51"/>
      <c r="S35" s="51"/>
      <c r="T35" s="51"/>
      <c r="U35" s="51"/>
    </row>
    <row r="36" spans="1:21" ht="15">
      <c r="A36" s="112" t="s">
        <v>130</v>
      </c>
      <c r="B36" s="49"/>
      <c r="C36" s="113"/>
      <c r="D36" s="116"/>
      <c r="J36" s="141"/>
      <c r="K36" s="142"/>
      <c r="L36" s="96"/>
      <c r="M36" s="51"/>
      <c r="N36" s="51"/>
      <c r="O36" s="51"/>
      <c r="P36" s="51"/>
      <c r="Q36" s="51"/>
      <c r="R36" s="51"/>
      <c r="S36" s="51"/>
      <c r="T36" s="51"/>
      <c r="U36" s="51"/>
    </row>
    <row r="37" spans="1:21" ht="15">
      <c r="A37" s="112" t="s">
        <v>118</v>
      </c>
      <c r="B37" s="49"/>
      <c r="C37" s="113"/>
      <c r="D37" s="116" t="s">
        <v>133</v>
      </c>
      <c r="J37" s="141"/>
      <c r="K37" s="142"/>
      <c r="L37" s="96"/>
      <c r="M37" s="51"/>
      <c r="N37" s="51"/>
      <c r="O37" s="51"/>
      <c r="P37" s="51"/>
      <c r="Q37" s="51"/>
      <c r="R37" s="51"/>
      <c r="S37" s="51"/>
      <c r="T37" s="51"/>
      <c r="U37" s="51"/>
    </row>
    <row r="38" spans="1:21" ht="15">
      <c r="A38" s="45" t="s">
        <v>119</v>
      </c>
      <c r="B38" s="49">
        <v>100</v>
      </c>
      <c r="C38" s="113"/>
      <c r="D38" s="116"/>
      <c r="J38" s="141"/>
      <c r="K38" s="142"/>
      <c r="L38" s="96"/>
      <c r="M38" s="51"/>
      <c r="N38" s="51"/>
      <c r="O38" s="51"/>
      <c r="P38" s="51"/>
      <c r="Q38" s="51"/>
      <c r="R38" s="51"/>
      <c r="S38" s="51"/>
      <c r="T38" s="51"/>
      <c r="U38" s="51"/>
    </row>
    <row r="39" spans="1:21" ht="18">
      <c r="A39" s="118" t="s">
        <v>325</v>
      </c>
      <c r="B39" s="49">
        <v>100</v>
      </c>
      <c r="C39" s="113"/>
      <c r="D39" s="116"/>
      <c r="J39" s="141"/>
      <c r="K39" s="142"/>
      <c r="L39" s="96"/>
      <c r="M39" s="51"/>
      <c r="N39" s="44"/>
      <c r="O39" s="145"/>
      <c r="P39" s="51"/>
      <c r="Q39" s="168"/>
      <c r="R39" s="169"/>
      <c r="S39" s="51"/>
      <c r="T39" s="51"/>
      <c r="U39" s="51"/>
    </row>
    <row r="40" spans="1:21" ht="18">
      <c r="A40" s="118" t="s">
        <v>121</v>
      </c>
      <c r="B40" s="49">
        <v>100</v>
      </c>
      <c r="C40" s="113"/>
      <c r="D40" s="116"/>
      <c r="J40" s="141"/>
      <c r="K40" s="146"/>
      <c r="L40" s="96"/>
      <c r="M40" s="51"/>
      <c r="N40" s="55"/>
      <c r="O40" s="44"/>
      <c r="P40" s="51"/>
      <c r="Q40" s="170"/>
      <c r="R40" s="169"/>
      <c r="S40" s="51"/>
      <c r="T40" s="51"/>
      <c r="U40" s="51"/>
    </row>
    <row r="41" spans="1:21" ht="18">
      <c r="A41" s="118" t="s">
        <v>122</v>
      </c>
      <c r="B41" s="49">
        <v>100</v>
      </c>
      <c r="C41" s="113"/>
      <c r="D41" s="114"/>
      <c r="J41" s="141"/>
      <c r="K41" s="146"/>
      <c r="L41" s="96"/>
      <c r="M41" s="51"/>
      <c r="N41" s="55"/>
      <c r="O41" s="44"/>
      <c r="P41" s="51"/>
      <c r="Q41" s="170"/>
      <c r="R41" s="169"/>
      <c r="S41" s="51"/>
      <c r="T41" s="51"/>
      <c r="U41" s="51"/>
    </row>
    <row r="42" spans="1:21" ht="18">
      <c r="A42" s="118" t="s">
        <v>123</v>
      </c>
      <c r="B42" s="49">
        <v>100</v>
      </c>
      <c r="C42" s="49"/>
      <c r="D42" s="116"/>
      <c r="J42" s="141"/>
      <c r="K42" s="146"/>
      <c r="L42" s="96"/>
      <c r="M42" s="51"/>
      <c r="N42" s="55"/>
      <c r="O42" s="147"/>
      <c r="P42" s="51"/>
      <c r="Q42" s="170"/>
      <c r="R42" s="169"/>
      <c r="S42" s="51"/>
      <c r="T42" s="51"/>
      <c r="U42" s="51"/>
    </row>
    <row r="43" spans="1:21" ht="18">
      <c r="A43" s="119"/>
      <c r="B43" s="120"/>
      <c r="C43" s="120"/>
      <c r="D43" s="116"/>
      <c r="J43" s="141"/>
      <c r="K43" s="146"/>
      <c r="L43" s="96"/>
      <c r="M43" s="51"/>
      <c r="N43" s="55"/>
      <c r="O43" s="147"/>
      <c r="P43" s="51"/>
      <c r="Q43" s="170"/>
      <c r="R43" s="169"/>
      <c r="S43" s="51"/>
      <c r="T43" s="51"/>
      <c r="U43" s="51"/>
    </row>
    <row r="44" spans="1:21" ht="18">
      <c r="A44" s="26"/>
      <c r="B44" s="120">
        <f>SUM(B31:B43)</f>
        <v>500</v>
      </c>
      <c r="C44" s="113">
        <f>SUM(C31:C43)</f>
        <v>0</v>
      </c>
      <c r="D44" s="116"/>
      <c r="J44" s="141"/>
      <c r="K44" s="146"/>
      <c r="L44" s="96"/>
      <c r="M44" s="51"/>
      <c r="N44" s="144"/>
      <c r="O44" s="148"/>
      <c r="P44" s="51"/>
      <c r="Q44" s="170"/>
      <c r="R44" s="169"/>
      <c r="S44" s="51"/>
      <c r="T44" s="51"/>
      <c r="U44" s="51"/>
    </row>
    <row r="45" spans="1:21" ht="18">
      <c r="A45" s="26"/>
      <c r="B45" s="120"/>
      <c r="C45" s="113"/>
      <c r="D45" s="121"/>
      <c r="J45" s="141"/>
      <c r="K45" s="146"/>
      <c r="L45" s="96"/>
      <c r="M45" s="51"/>
      <c r="N45" s="144"/>
      <c r="O45" s="59"/>
      <c r="P45" s="51"/>
      <c r="Q45" s="170"/>
      <c r="R45" s="169"/>
      <c r="S45" s="51"/>
      <c r="T45" s="51"/>
      <c r="U45" s="51"/>
    </row>
    <row r="46" spans="1:21" ht="15.75">
      <c r="A46" s="101" t="s">
        <v>131</v>
      </c>
      <c r="B46" s="122">
        <f>A29+C44-B44</f>
        <v>693</v>
      </c>
      <c r="C46" s="103"/>
      <c r="D46" s="107"/>
      <c r="J46" s="141"/>
      <c r="K46" s="146"/>
      <c r="L46" s="96"/>
      <c r="M46" s="51"/>
      <c r="N46" s="144"/>
      <c r="O46" s="51"/>
      <c r="P46" s="51"/>
      <c r="Q46" s="51"/>
      <c r="R46" s="51"/>
      <c r="S46" s="51"/>
      <c r="T46" s="51"/>
      <c r="U46" s="51"/>
    </row>
    <row r="47" spans="10:21" ht="14.25">
      <c r="J47" s="141"/>
      <c r="K47" s="146"/>
      <c r="L47" s="96"/>
      <c r="M47" s="51"/>
      <c r="N47" s="51"/>
      <c r="O47" s="51"/>
      <c r="P47" s="51"/>
      <c r="Q47" s="51"/>
      <c r="R47" s="51"/>
      <c r="S47" s="51"/>
      <c r="T47" s="51"/>
      <c r="U47" s="51"/>
    </row>
    <row r="48" spans="10:21" ht="14.25">
      <c r="J48" s="141"/>
      <c r="K48" s="149"/>
      <c r="L48" s="144"/>
      <c r="M48" s="51"/>
      <c r="N48" s="51"/>
      <c r="O48" s="51"/>
      <c r="P48" s="51"/>
      <c r="Q48" s="51"/>
      <c r="R48" s="51"/>
      <c r="S48" s="51"/>
      <c r="T48" s="51"/>
      <c r="U48" s="51"/>
    </row>
    <row r="49" spans="10:21" ht="14.25">
      <c r="J49" s="150"/>
      <c r="K49" s="149"/>
      <c r="L49" s="144"/>
      <c r="M49" s="51"/>
      <c r="N49" s="51"/>
      <c r="O49" s="51"/>
      <c r="P49" s="51"/>
      <c r="Q49" s="51"/>
      <c r="R49" s="51"/>
      <c r="S49" s="51"/>
      <c r="T49" s="51"/>
      <c r="U49" s="51"/>
    </row>
    <row r="50" spans="10:21" ht="14.25">
      <c r="J50" s="150"/>
      <c r="K50" s="149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0:21" ht="14.25">
      <c r="J51" s="150"/>
      <c r="K51" s="149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4:21" ht="15">
      <c r="D52" s="123"/>
      <c r="E52" s="123"/>
      <c r="F52" s="124"/>
      <c r="G52" s="33"/>
      <c r="J52" s="150"/>
      <c r="K52" s="149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4:21" ht="15">
      <c r="D53" s="123"/>
      <c r="E53" s="123"/>
      <c r="F53" s="123"/>
      <c r="G53" s="123"/>
      <c r="J53" s="51"/>
      <c r="K53" s="144"/>
      <c r="L53" s="51"/>
      <c r="M53" s="151"/>
      <c r="N53" s="51"/>
      <c r="O53" s="51"/>
      <c r="P53" s="51"/>
      <c r="Q53" s="51"/>
      <c r="R53" s="51"/>
      <c r="S53" s="51"/>
      <c r="T53" s="51"/>
      <c r="U53" s="51"/>
    </row>
    <row r="54" spans="4:21" ht="15">
      <c r="D54" s="125"/>
      <c r="E54" s="125"/>
      <c r="F54" s="123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4:11" ht="15">
      <c r="D55" s="125"/>
      <c r="E55" s="125"/>
      <c r="F55" s="123"/>
      <c r="K55" s="13"/>
    </row>
    <row r="56" spans="4:10" ht="15">
      <c r="D56" s="125"/>
      <c r="E56" s="125"/>
      <c r="F56" s="123"/>
      <c r="H56" s="13"/>
      <c r="J56" s="23"/>
    </row>
    <row r="57" spans="4:6" ht="15">
      <c r="D57" s="126"/>
      <c r="E57" s="126"/>
      <c r="F57" s="123"/>
    </row>
    <row r="58" spans="4:10" ht="12.75">
      <c r="D58" s="126"/>
      <c r="E58" s="126"/>
      <c r="F58" s="126"/>
      <c r="J58" s="13"/>
    </row>
    <row r="59" ht="12.75">
      <c r="H59" s="23"/>
    </row>
  </sheetData>
  <sheetProtection/>
  <hyperlinks>
    <hyperlink ref="O27" r:id="rId1" display="155@/4"/>
  </hyperlinks>
  <printOptions/>
  <pageMargins left="0.7" right="0.7" top="0.75" bottom="0.75" header="0.3" footer="0.3"/>
  <pageSetup horizontalDpi="600" verticalDpi="60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C1">
      <selection activeCell="H10" sqref="H10"/>
    </sheetView>
  </sheetViews>
  <sheetFormatPr defaultColWidth="9.140625" defaultRowHeight="12.75"/>
  <cols>
    <col min="1" max="1" width="14.00390625" style="0" bestFit="1" customWidth="1"/>
    <col min="2" max="2" width="14.140625" style="0" bestFit="1" customWidth="1"/>
    <col min="3" max="3" width="14.00390625" style="0" bestFit="1" customWidth="1"/>
    <col min="4" max="4" width="12.7109375" style="0" bestFit="1" customWidth="1"/>
    <col min="6" max="6" width="9.28125" style="0" bestFit="1" customWidth="1"/>
    <col min="7" max="7" width="14.140625" style="0" bestFit="1" customWidth="1"/>
    <col min="8" max="8" width="19.28125" style="0" bestFit="1" customWidth="1"/>
    <col min="9" max="9" width="14.28125" style="0" bestFit="1" customWidth="1"/>
    <col min="10" max="10" width="11.57421875" style="0" bestFit="1" customWidth="1"/>
    <col min="11" max="12" width="12.8515625" style="0" bestFit="1" customWidth="1"/>
    <col min="13" max="13" width="11.57421875" style="0" bestFit="1" customWidth="1"/>
    <col min="14" max="14" width="19.140625" style="0" bestFit="1" customWidth="1"/>
    <col min="16" max="16" width="14.140625" style="0" bestFit="1" customWidth="1"/>
    <col min="17" max="17" width="19.140625" style="0" bestFit="1" customWidth="1"/>
  </cols>
  <sheetData>
    <row r="1" spans="1:1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>
      <c r="A2" s="52" t="s">
        <v>134</v>
      </c>
      <c r="B2" s="52" t="s">
        <v>135</v>
      </c>
      <c r="C2" s="26"/>
      <c r="D2" s="52" t="s">
        <v>69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>
      <c r="A3" s="62">
        <v>277</v>
      </c>
      <c r="B3" s="63" t="s">
        <v>4</v>
      </c>
      <c r="C3" s="63"/>
      <c r="D3" s="5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8">
      <c r="A4" s="64">
        <v>1353</v>
      </c>
      <c r="B4" s="63" t="s">
        <v>9</v>
      </c>
      <c r="C4" s="63"/>
      <c r="D4" s="52"/>
      <c r="E4" s="5"/>
      <c r="F4" s="5"/>
      <c r="G4" s="5"/>
      <c r="H4" s="65">
        <v>302</v>
      </c>
      <c r="I4" s="26" t="s">
        <v>4</v>
      </c>
      <c r="J4" s="26"/>
      <c r="K4" s="52"/>
      <c r="L4" s="52"/>
      <c r="M4" s="5"/>
      <c r="N4" s="5"/>
      <c r="O4" s="5"/>
      <c r="P4" s="5"/>
      <c r="Q4" s="5"/>
      <c r="R4" s="5"/>
    </row>
    <row r="5" spans="1:18" ht="18">
      <c r="A5" s="66">
        <v>296</v>
      </c>
      <c r="B5" s="63" t="s">
        <v>11</v>
      </c>
      <c r="C5" s="63"/>
      <c r="D5" s="52"/>
      <c r="E5" s="5"/>
      <c r="F5" s="5"/>
      <c r="G5" s="5"/>
      <c r="H5" s="67">
        <v>1375</v>
      </c>
      <c r="I5" s="52" t="s">
        <v>9</v>
      </c>
      <c r="J5" s="52"/>
      <c r="K5" s="52"/>
      <c r="L5" s="52"/>
      <c r="M5" s="5"/>
      <c r="N5" s="5"/>
      <c r="O5" s="5"/>
      <c r="P5" s="5"/>
      <c r="Q5" s="5"/>
      <c r="R5" s="5"/>
    </row>
    <row r="6" spans="1:18" ht="18">
      <c r="A6" s="66"/>
      <c r="B6" s="63"/>
      <c r="C6" s="63"/>
      <c r="D6" s="52"/>
      <c r="E6" s="5"/>
      <c r="F6" s="5"/>
      <c r="G6" s="5"/>
      <c r="H6" s="68">
        <v>298</v>
      </c>
      <c r="I6" s="52" t="s">
        <v>11</v>
      </c>
      <c r="J6" s="52"/>
      <c r="K6" s="52"/>
      <c r="L6" s="52"/>
      <c r="M6" s="5"/>
      <c r="N6" s="5"/>
      <c r="O6" s="5"/>
      <c r="P6" s="5"/>
      <c r="Q6" s="5"/>
      <c r="R6" s="5"/>
    </row>
    <row r="7" spans="1:18" ht="18">
      <c r="A7" s="66">
        <v>1059</v>
      </c>
      <c r="B7" s="63" t="s">
        <v>13</v>
      </c>
      <c r="C7" s="63"/>
      <c r="D7" s="52"/>
      <c r="E7" s="5"/>
      <c r="F7" s="5"/>
      <c r="G7" s="5"/>
      <c r="H7" s="68"/>
      <c r="I7" s="52"/>
      <c r="J7" s="52"/>
      <c r="K7" s="52"/>
      <c r="L7" s="52"/>
      <c r="M7" s="5"/>
      <c r="N7" s="5"/>
      <c r="O7" s="5"/>
      <c r="P7" s="5"/>
      <c r="Q7" s="5"/>
      <c r="R7" s="5"/>
    </row>
    <row r="8" spans="1:18" ht="18">
      <c r="A8" s="66">
        <v>2091</v>
      </c>
      <c r="B8" s="63" t="s">
        <v>16</v>
      </c>
      <c r="C8" s="63"/>
      <c r="D8" s="52"/>
      <c r="E8" s="5"/>
      <c r="F8" s="5"/>
      <c r="G8" s="5"/>
      <c r="H8" s="68">
        <v>1096</v>
      </c>
      <c r="I8" s="52" t="s">
        <v>13</v>
      </c>
      <c r="J8" s="88" t="s">
        <v>136</v>
      </c>
      <c r="K8" s="89">
        <v>1076</v>
      </c>
      <c r="L8" s="52"/>
      <c r="M8" s="5"/>
      <c r="N8" s="5"/>
      <c r="O8" s="90">
        <f>K8-500</f>
        <v>576</v>
      </c>
      <c r="P8" s="5"/>
      <c r="Q8" s="5"/>
      <c r="R8" s="5"/>
    </row>
    <row r="9" spans="1:18" ht="18">
      <c r="A9" s="64">
        <v>950</v>
      </c>
      <c r="B9" s="63" t="s">
        <v>43</v>
      </c>
      <c r="C9" s="63" t="s">
        <v>137</v>
      </c>
      <c r="D9" s="52"/>
      <c r="E9" s="5"/>
      <c r="F9" s="5"/>
      <c r="G9" s="5"/>
      <c r="H9" s="68">
        <v>2289</v>
      </c>
      <c r="I9" s="52" t="s">
        <v>16</v>
      </c>
      <c r="J9" s="52"/>
      <c r="K9" s="52"/>
      <c r="L9" s="52"/>
      <c r="M9" s="5"/>
      <c r="N9" s="5"/>
      <c r="O9" s="5"/>
      <c r="P9" s="5"/>
      <c r="Q9" s="5"/>
      <c r="R9" s="5"/>
    </row>
    <row r="10" spans="1:18" ht="15">
      <c r="A10" s="69"/>
      <c r="B10" s="52"/>
      <c r="C10" s="52"/>
      <c r="D10" s="52"/>
      <c r="E10" s="5"/>
      <c r="F10" s="5"/>
      <c r="G10" s="5"/>
      <c r="H10" s="65">
        <v>790</v>
      </c>
      <c r="I10" s="52" t="s">
        <v>71</v>
      </c>
      <c r="J10" s="52"/>
      <c r="K10" s="52"/>
      <c r="L10" s="52"/>
      <c r="M10" s="5"/>
      <c r="N10" s="5"/>
      <c r="O10" s="5"/>
      <c r="P10" s="5"/>
      <c r="Q10" s="5"/>
      <c r="R10" s="5"/>
    </row>
    <row r="11" spans="1:18" ht="18">
      <c r="A11" s="70">
        <f>SUM(A3:A10)</f>
        <v>6026</v>
      </c>
      <c r="B11" s="52"/>
      <c r="C11" s="52"/>
      <c r="D11" s="52"/>
      <c r="E11" s="5"/>
      <c r="F11" s="5"/>
      <c r="G11" s="5"/>
      <c r="H11" s="71">
        <f>SUM(H4:H10)</f>
        <v>6150</v>
      </c>
      <c r="I11" s="52"/>
      <c r="J11" s="52"/>
      <c r="K11" s="52"/>
      <c r="L11" s="52"/>
      <c r="M11" s="5"/>
      <c r="N11" s="5"/>
      <c r="O11" s="5"/>
      <c r="P11" s="5"/>
      <c r="Q11" s="5"/>
      <c r="R11" s="5"/>
    </row>
    <row r="12" spans="1:18" ht="15">
      <c r="A12" s="69"/>
      <c r="B12" s="52"/>
      <c r="C12" s="52"/>
      <c r="D12" s="52"/>
      <c r="E12" s="5"/>
      <c r="F12" s="5"/>
      <c r="G12" s="5"/>
      <c r="H12" s="52"/>
      <c r="I12" s="52"/>
      <c r="J12" s="52"/>
      <c r="K12" s="52"/>
      <c r="L12" s="52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.75">
      <c r="A16" s="72">
        <f>A11*12</f>
        <v>72312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.75">
      <c r="A18" s="73">
        <v>41852</v>
      </c>
      <c r="B18" s="5"/>
      <c r="C18" s="5"/>
      <c r="D18" s="5"/>
      <c r="E18" s="5"/>
      <c r="F18" s="5"/>
      <c r="G18" s="5"/>
      <c r="H18" s="5" t="s">
        <v>138</v>
      </c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9.5">
      <c r="A19" s="74" t="s">
        <v>134</v>
      </c>
      <c r="B19" s="74" t="s">
        <v>135</v>
      </c>
      <c r="C19" s="75" t="s">
        <v>138</v>
      </c>
      <c r="D19" s="74" t="s">
        <v>69</v>
      </c>
      <c r="E19" s="5"/>
      <c r="F19" s="5"/>
      <c r="G19" s="52"/>
      <c r="H19" s="76">
        <v>42005</v>
      </c>
      <c r="I19" s="91">
        <v>42217</v>
      </c>
      <c r="J19" s="5"/>
      <c r="K19" s="5"/>
      <c r="L19" s="7">
        <f>K23*12</f>
        <v>0</v>
      </c>
      <c r="M19" s="5"/>
      <c r="N19" s="5"/>
      <c r="O19" s="5"/>
      <c r="P19" s="5"/>
      <c r="Q19" s="5"/>
      <c r="R19" s="5"/>
    </row>
    <row r="20" spans="1:18" ht="20.25">
      <c r="A20" s="62">
        <v>287</v>
      </c>
      <c r="B20" s="63" t="s">
        <v>4</v>
      </c>
      <c r="C20" s="77">
        <v>287</v>
      </c>
      <c r="D20" s="53">
        <f>C20-A20</f>
        <v>0</v>
      </c>
      <c r="E20" s="5"/>
      <c r="F20" s="5"/>
      <c r="G20" s="63" t="s">
        <v>4</v>
      </c>
      <c r="H20" s="78">
        <v>287</v>
      </c>
      <c r="I20" s="92">
        <v>4.65</v>
      </c>
      <c r="J20" s="7">
        <f>SUM(H20:I20)</f>
        <v>291.65</v>
      </c>
      <c r="K20" s="7"/>
      <c r="L20" s="7"/>
      <c r="M20" s="5"/>
      <c r="N20" s="5"/>
      <c r="O20" s="5"/>
      <c r="P20" s="7" t="s">
        <v>139</v>
      </c>
      <c r="Q20" s="5"/>
      <c r="R20" s="5"/>
    </row>
    <row r="21" spans="1:18" ht="20.25">
      <c r="A21" s="64">
        <v>1372</v>
      </c>
      <c r="B21" s="63" t="s">
        <v>9</v>
      </c>
      <c r="C21" s="77">
        <v>1522</v>
      </c>
      <c r="D21" s="53">
        <f>C21-A21</f>
        <v>150</v>
      </c>
      <c r="E21" s="5" t="s">
        <v>140</v>
      </c>
      <c r="F21" s="5"/>
      <c r="G21" s="63" t="s">
        <v>9</v>
      </c>
      <c r="H21" s="79">
        <v>1542</v>
      </c>
      <c r="I21" s="92"/>
      <c r="J21" s="5"/>
      <c r="K21" s="7"/>
      <c r="L21" s="7"/>
      <c r="M21" s="5"/>
      <c r="N21" s="5"/>
      <c r="O21" s="5"/>
      <c r="P21" s="7">
        <f>A20*0.0162</f>
        <v>4.6494</v>
      </c>
      <c r="Q21" s="7">
        <f>A20+P21</f>
        <v>291.6494</v>
      </c>
      <c r="R21" s="5"/>
    </row>
    <row r="22" spans="1:18" ht="20.25">
      <c r="A22" s="66">
        <v>296</v>
      </c>
      <c r="B22" s="63" t="s">
        <v>11</v>
      </c>
      <c r="C22" s="77">
        <v>296</v>
      </c>
      <c r="D22" s="53">
        <f>C22-A22</f>
        <v>0</v>
      </c>
      <c r="E22" s="5"/>
      <c r="F22" s="5"/>
      <c r="G22" s="63" t="s">
        <v>11</v>
      </c>
      <c r="H22" s="80">
        <v>296</v>
      </c>
      <c r="I22" s="92"/>
      <c r="J22" s="5"/>
      <c r="K22" s="7"/>
      <c r="L22" s="5"/>
      <c r="M22" s="5"/>
      <c r="N22" s="5"/>
      <c r="O22" s="5"/>
      <c r="P22" s="7">
        <f>A25*0.0162</f>
        <v>34.959599999999995</v>
      </c>
      <c r="Q22" s="7">
        <f>A25+P22</f>
        <v>2192.9596</v>
      </c>
      <c r="R22" s="5"/>
    </row>
    <row r="23" spans="1:18" ht="20.25">
      <c r="A23" s="66"/>
      <c r="B23" s="63"/>
      <c r="C23" s="77"/>
      <c r="D23" s="52"/>
      <c r="E23" s="5"/>
      <c r="F23" s="5"/>
      <c r="G23" s="63"/>
      <c r="H23" s="81"/>
      <c r="I23" s="92"/>
      <c r="J23" s="5"/>
      <c r="K23" s="7"/>
      <c r="L23" s="5"/>
      <c r="M23" s="5"/>
      <c r="N23" s="5"/>
      <c r="O23" s="5"/>
      <c r="P23" s="7">
        <f>SUM(P21:P22)</f>
        <v>39.608999999999995</v>
      </c>
      <c r="Q23" s="5"/>
      <c r="R23" s="5"/>
    </row>
    <row r="24" spans="1:18" ht="20.25">
      <c r="A24" s="66">
        <v>1076</v>
      </c>
      <c r="B24" s="63" t="s">
        <v>13</v>
      </c>
      <c r="C24" s="77">
        <v>1300</v>
      </c>
      <c r="D24" s="53">
        <f>C24-A24</f>
        <v>224</v>
      </c>
      <c r="E24" s="5"/>
      <c r="F24" s="5"/>
      <c r="G24" s="63" t="s">
        <v>13</v>
      </c>
      <c r="H24" s="80">
        <v>1322</v>
      </c>
      <c r="I24" s="92">
        <v>24</v>
      </c>
      <c r="J24" s="7">
        <f>SUM(H24:I24)</f>
        <v>1346</v>
      </c>
      <c r="K24" s="5"/>
      <c r="L24" s="7"/>
      <c r="M24" s="52" t="s">
        <v>141</v>
      </c>
      <c r="N24" s="52"/>
      <c r="O24" s="5"/>
      <c r="P24" s="7"/>
      <c r="Q24" s="5"/>
      <c r="R24" s="5"/>
    </row>
    <row r="25" spans="1:18" ht="20.25">
      <c r="A25" s="66">
        <v>2158</v>
      </c>
      <c r="B25" s="63" t="s">
        <v>16</v>
      </c>
      <c r="C25" s="77">
        <v>2426</v>
      </c>
      <c r="D25" s="53">
        <f>C25-A25</f>
        <v>268</v>
      </c>
      <c r="E25" s="5"/>
      <c r="F25" s="5"/>
      <c r="G25" s="63" t="s">
        <v>16</v>
      </c>
      <c r="H25" s="80">
        <v>2310</v>
      </c>
      <c r="I25" s="92"/>
      <c r="J25" s="5"/>
      <c r="K25" s="5"/>
      <c r="L25" s="5"/>
      <c r="M25" s="47">
        <v>2310</v>
      </c>
      <c r="N25" s="52"/>
      <c r="O25" s="5"/>
      <c r="P25" s="5"/>
      <c r="Q25" s="5"/>
      <c r="R25" s="5"/>
    </row>
    <row r="26" spans="1:18" ht="20.25">
      <c r="A26" s="64">
        <v>950</v>
      </c>
      <c r="B26" s="63" t="s">
        <v>43</v>
      </c>
      <c r="C26" s="82">
        <v>1045</v>
      </c>
      <c r="D26" s="53">
        <f>C26-A26</f>
        <v>95</v>
      </c>
      <c r="E26" s="63" t="s">
        <v>137</v>
      </c>
      <c r="F26" s="5"/>
      <c r="G26" s="63" t="s">
        <v>43</v>
      </c>
      <c r="H26" s="83">
        <v>950</v>
      </c>
      <c r="I26" s="92" t="s">
        <v>137</v>
      </c>
      <c r="J26" s="5"/>
      <c r="K26" s="5"/>
      <c r="L26" s="5"/>
      <c r="M26" s="47">
        <v>116</v>
      </c>
      <c r="N26" s="52" t="s">
        <v>142</v>
      </c>
      <c r="O26" s="5"/>
      <c r="P26" s="5"/>
      <c r="Q26" s="5"/>
      <c r="R26" s="5"/>
    </row>
    <row r="27" spans="1:18" ht="19.5">
      <c r="A27" s="69"/>
      <c r="B27" s="52"/>
      <c r="C27" s="47"/>
      <c r="D27" s="53"/>
      <c r="E27" s="5"/>
      <c r="F27" s="5"/>
      <c r="G27" s="52"/>
      <c r="H27" s="84">
        <f>SUM(H20:H26)</f>
        <v>6707</v>
      </c>
      <c r="I27" s="92"/>
      <c r="J27" s="5"/>
      <c r="K27" s="5"/>
      <c r="L27" s="5"/>
      <c r="M27" s="93">
        <f>SUM(M25:M26)</f>
        <v>2426</v>
      </c>
      <c r="N27" s="52"/>
      <c r="O27" s="5"/>
      <c r="P27" s="5"/>
      <c r="Q27" s="5"/>
      <c r="R27" s="5"/>
    </row>
    <row r="28" spans="1:13" ht="18">
      <c r="A28" s="70">
        <f>SUM(A20:A27)</f>
        <v>6139</v>
      </c>
      <c r="B28" s="52"/>
      <c r="C28" s="77">
        <f>SUM(C20:C27)</f>
        <v>6876</v>
      </c>
      <c r="D28" s="52"/>
      <c r="F28" s="13"/>
      <c r="G28" s="85" t="s">
        <v>27</v>
      </c>
      <c r="H28" s="26"/>
      <c r="I28" s="26"/>
      <c r="M28" s="23"/>
    </row>
    <row r="29" spans="1:13" ht="15">
      <c r="A29" s="69"/>
      <c r="B29" s="52"/>
      <c r="C29" s="47"/>
      <c r="D29" s="52"/>
      <c r="G29" s="52"/>
      <c r="H29" s="26"/>
      <c r="I29" s="26"/>
      <c r="M29" s="23"/>
    </row>
    <row r="30" ht="12.75">
      <c r="I30" s="13"/>
    </row>
    <row r="31" spans="1:6" ht="15.75">
      <c r="A31" s="6">
        <f>A28*12</f>
        <v>73668</v>
      </c>
      <c r="C31" s="6">
        <f>C28*12</f>
        <v>82512</v>
      </c>
      <c r="F31" s="13"/>
    </row>
    <row r="32" spans="7:9" ht="15.75">
      <c r="G32" s="5" t="s">
        <v>143</v>
      </c>
      <c r="H32" s="86" t="s">
        <v>144</v>
      </c>
      <c r="I32" s="5"/>
    </row>
    <row r="33" spans="7:17" ht="19.5">
      <c r="G33" s="52"/>
      <c r="H33" s="76">
        <v>42370</v>
      </c>
      <c r="I33" s="91"/>
      <c r="M33" s="52"/>
      <c r="N33" s="76">
        <v>42736</v>
      </c>
      <c r="P33" s="52"/>
      <c r="Q33" s="76">
        <v>43101</v>
      </c>
    </row>
    <row r="34" spans="7:18" ht="20.25">
      <c r="G34" s="63" t="s">
        <v>4</v>
      </c>
      <c r="H34" s="78">
        <v>292.15</v>
      </c>
      <c r="I34" s="92"/>
      <c r="M34" s="63" t="s">
        <v>4</v>
      </c>
      <c r="N34" s="78">
        <v>292.15</v>
      </c>
      <c r="P34" s="63" t="s">
        <v>4</v>
      </c>
      <c r="Q34" s="78">
        <v>298</v>
      </c>
      <c r="R34" t="s">
        <v>299</v>
      </c>
    </row>
    <row r="35" spans="7:18" ht="20.25">
      <c r="G35" s="63" t="s">
        <v>9</v>
      </c>
      <c r="H35" s="79">
        <v>1547.9</v>
      </c>
      <c r="I35" s="92"/>
      <c r="K35" s="78">
        <v>292.15</v>
      </c>
      <c r="M35" s="63" t="s">
        <v>9</v>
      </c>
      <c r="N35" s="79">
        <v>1547.9</v>
      </c>
      <c r="P35" s="63" t="s">
        <v>9</v>
      </c>
      <c r="Q35" s="79">
        <v>1375</v>
      </c>
      <c r="R35" s="13">
        <f>Q35+Q49</f>
        <v>1402.5</v>
      </c>
    </row>
    <row r="36" spans="7:17" ht="20.25">
      <c r="G36" s="63" t="s">
        <v>11</v>
      </c>
      <c r="H36" s="80">
        <v>296</v>
      </c>
      <c r="I36" s="92"/>
      <c r="K36" s="79">
        <v>1547.9</v>
      </c>
      <c r="M36" s="63" t="s">
        <v>11</v>
      </c>
      <c r="N36" s="80">
        <v>296</v>
      </c>
      <c r="P36" s="63" t="s">
        <v>11</v>
      </c>
      <c r="Q36" s="80">
        <v>296</v>
      </c>
    </row>
    <row r="37" spans="4:17" ht="20.25">
      <c r="D37" s="78">
        <v>292.15</v>
      </c>
      <c r="G37" s="63"/>
      <c r="H37" s="330"/>
      <c r="I37" s="92"/>
      <c r="K37" s="80">
        <v>296</v>
      </c>
      <c r="M37" s="63"/>
      <c r="N37" s="81"/>
      <c r="P37" s="63"/>
      <c r="Q37" s="81"/>
    </row>
    <row r="38" spans="4:18" ht="20.25">
      <c r="D38" s="79">
        <v>1547.9</v>
      </c>
      <c r="G38" s="63" t="s">
        <v>13</v>
      </c>
      <c r="H38" s="80">
        <v>1378</v>
      </c>
      <c r="I38" s="92"/>
      <c r="K38" s="13">
        <f>SUM(K35:K37)</f>
        <v>2136.05</v>
      </c>
      <c r="M38" s="63" t="s">
        <v>13</v>
      </c>
      <c r="N38" s="80">
        <v>1378</v>
      </c>
      <c r="P38" s="63" t="s">
        <v>13</v>
      </c>
      <c r="Q38" s="80">
        <v>1098</v>
      </c>
      <c r="R38" s="13">
        <f>Q38+Q50</f>
        <v>1119.96</v>
      </c>
    </row>
    <row r="39" spans="4:17" ht="20.25">
      <c r="D39" s="80">
        <v>296</v>
      </c>
      <c r="G39" s="63" t="s">
        <v>16</v>
      </c>
      <c r="H39" s="80">
        <v>2347.5</v>
      </c>
      <c r="I39" s="92">
        <v>2191</v>
      </c>
      <c r="M39" s="63" t="s">
        <v>16</v>
      </c>
      <c r="N39" s="80">
        <v>2350</v>
      </c>
      <c r="P39" s="63" t="s">
        <v>16</v>
      </c>
      <c r="Q39" s="80">
        <v>2246</v>
      </c>
    </row>
    <row r="40" spans="4:17" ht="20.25">
      <c r="D40" s="13">
        <f>SUM(D37:D39)</f>
        <v>2136.05</v>
      </c>
      <c r="G40" s="63" t="s">
        <v>43</v>
      </c>
      <c r="H40" s="83">
        <v>950</v>
      </c>
      <c r="I40" s="92" t="s">
        <v>137</v>
      </c>
      <c r="J40" s="13">
        <f>H40*12</f>
        <v>11400</v>
      </c>
      <c r="L40" s="13">
        <f>H34*0.012</f>
        <v>3.5058</v>
      </c>
      <c r="M40" s="63" t="s">
        <v>43</v>
      </c>
      <c r="N40" s="83">
        <v>950</v>
      </c>
      <c r="P40" s="63" t="s">
        <v>43</v>
      </c>
      <c r="Q40" s="83">
        <v>950</v>
      </c>
    </row>
    <row r="41" spans="4:17" ht="19.5">
      <c r="D41" s="23"/>
      <c r="G41" s="85" t="s">
        <v>27</v>
      </c>
      <c r="H41" s="84">
        <v>600</v>
      </c>
      <c r="I41" s="92"/>
      <c r="L41" s="13">
        <f>I39*0.012</f>
        <v>26.292</v>
      </c>
      <c r="M41" s="52"/>
      <c r="N41" s="84">
        <f>SUM(N34:N40)</f>
        <v>6814.05</v>
      </c>
      <c r="P41" s="52"/>
      <c r="Q41" s="84">
        <f>SUM(Q34:Q40)</f>
        <v>6263</v>
      </c>
    </row>
    <row r="42" spans="4:17" ht="19.5">
      <c r="D42" s="23"/>
      <c r="G42" s="52"/>
      <c r="H42" s="84">
        <f>SUM(H38:H41)</f>
        <v>5275.5</v>
      </c>
      <c r="I42" s="92">
        <f>H42*12</f>
        <v>63306</v>
      </c>
      <c r="L42" s="13"/>
      <c r="M42" s="52"/>
      <c r="N42" s="84"/>
      <c r="P42" s="52"/>
      <c r="Q42" s="84"/>
    </row>
    <row r="43" spans="4:17" ht="15">
      <c r="D43" s="13">
        <f>D40*12</f>
        <v>25632.600000000002</v>
      </c>
      <c r="H43" s="26"/>
      <c r="I43" s="26"/>
      <c r="L43" s="13">
        <f>SUM(L40:L41)</f>
        <v>29.797800000000002</v>
      </c>
      <c r="M43" s="85" t="s">
        <v>27</v>
      </c>
      <c r="N43" s="26"/>
      <c r="P43" s="85" t="s">
        <v>27</v>
      </c>
      <c r="Q43" s="26"/>
    </row>
    <row r="44" spans="4:17" ht="18">
      <c r="D44" s="13">
        <f>H37</f>
        <v>0</v>
      </c>
      <c r="G44" s="63" t="s">
        <v>145</v>
      </c>
      <c r="H44" s="87"/>
      <c r="I44" s="26"/>
      <c r="M44" s="63" t="s">
        <v>145</v>
      </c>
      <c r="N44" s="87">
        <f>N41*12</f>
        <v>81768.6</v>
      </c>
      <c r="P44" s="63" t="s">
        <v>145</v>
      </c>
      <c r="Q44" s="87">
        <f>Q41*12</f>
        <v>75156</v>
      </c>
    </row>
    <row r="46" spans="4:10" ht="19.5">
      <c r="D46" s="13">
        <f>D43+I42</f>
        <v>88938.6</v>
      </c>
      <c r="H46" s="329">
        <f>H44+8000</f>
        <v>8000</v>
      </c>
      <c r="J46">
        <f>8000/12</f>
        <v>666.6666666666666</v>
      </c>
    </row>
    <row r="48" ht="12.75">
      <c r="Q48" s="26" t="s">
        <v>298</v>
      </c>
    </row>
    <row r="49" ht="12.75">
      <c r="Q49" s="28">
        <f>Q35*0.02</f>
        <v>27.5</v>
      </c>
    </row>
    <row r="50" ht="12.75">
      <c r="Q50" s="28">
        <f>Q38*0.02</f>
        <v>21.96</v>
      </c>
    </row>
    <row r="51" ht="12.75">
      <c r="Q51" s="484">
        <f>SUM(Q49:Q50)</f>
        <v>49.46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bestFit="1" customWidth="1"/>
    <col min="2" max="2" width="11.57421875" style="0" bestFit="1" customWidth="1"/>
    <col min="3" max="3" width="12.8515625" style="0" bestFit="1" customWidth="1"/>
    <col min="5" max="5" width="11.57421875" style="0" bestFit="1" customWidth="1"/>
    <col min="6" max="6" width="9.7109375" style="0" bestFit="1" customWidth="1"/>
    <col min="7" max="11" width="11.57421875" style="0" bestFit="1" customWidth="1"/>
    <col min="13" max="13" width="11.57421875" style="0" bestFit="1" customWidth="1"/>
    <col min="16" max="17" width="12.8515625" style="0" bestFit="1" customWidth="1"/>
    <col min="18" max="18" width="10.421875" style="0" bestFit="1" customWidth="1"/>
  </cols>
  <sheetData>
    <row r="1" spans="1:17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15">
      <c r="A2" s="345" t="s">
        <v>146</v>
      </c>
      <c r="B2" s="345"/>
      <c r="C2" s="345"/>
      <c r="D2" s="345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51"/>
      <c r="S2" s="51"/>
    </row>
    <row r="3" spans="1:19" ht="15">
      <c r="A3" s="346"/>
      <c r="B3" s="345"/>
      <c r="C3" s="347">
        <v>7046</v>
      </c>
      <c r="D3" s="345"/>
      <c r="F3" s="44"/>
      <c r="G3" s="44"/>
      <c r="H3" s="44"/>
      <c r="I3" s="55"/>
      <c r="J3" s="44"/>
      <c r="K3" s="44"/>
      <c r="L3" s="44"/>
      <c r="M3" s="44"/>
      <c r="N3" s="44"/>
      <c r="O3" s="44"/>
      <c r="P3" s="44"/>
      <c r="Q3" s="44"/>
      <c r="R3" s="51"/>
      <c r="S3" s="51"/>
    </row>
    <row r="4" spans="1:19" ht="15">
      <c r="A4" s="345"/>
      <c r="B4" s="348" t="s">
        <v>147</v>
      </c>
      <c r="C4" s="348" t="s">
        <v>148</v>
      </c>
      <c r="D4" s="345"/>
      <c r="F4" s="44"/>
      <c r="G4" s="44"/>
      <c r="H4" s="56">
        <f>C3-C13</f>
        <v>3046</v>
      </c>
      <c r="I4" s="44"/>
      <c r="J4" s="44"/>
      <c r="K4" s="44"/>
      <c r="L4" s="44"/>
      <c r="M4" s="44"/>
      <c r="N4" s="44"/>
      <c r="O4" s="44"/>
      <c r="P4" s="44"/>
      <c r="Q4" s="44"/>
      <c r="R4" s="51"/>
      <c r="S4" s="51"/>
    </row>
    <row r="5" spans="1:19" ht="15">
      <c r="A5" s="349">
        <v>42753</v>
      </c>
      <c r="B5" s="350">
        <v>500</v>
      </c>
      <c r="C5" s="351"/>
      <c r="D5" s="450" t="s">
        <v>222</v>
      </c>
      <c r="E5">
        <v>500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51"/>
      <c r="S5" s="51"/>
    </row>
    <row r="6" spans="1:19" ht="15">
      <c r="A6" s="349">
        <v>42784</v>
      </c>
      <c r="B6" s="353">
        <v>500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51"/>
      <c r="S6" s="51"/>
    </row>
    <row r="7" spans="1:19" ht="15">
      <c r="A7" s="349">
        <v>42812</v>
      </c>
      <c r="B7" s="350"/>
      <c r="C7" s="351"/>
      <c r="D7" s="354" t="s">
        <v>244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51"/>
      <c r="S7" s="51"/>
    </row>
    <row r="8" spans="1:19" ht="15.75">
      <c r="A8" s="349">
        <v>42843</v>
      </c>
      <c r="B8" s="350"/>
      <c r="C8" s="351"/>
      <c r="D8" s="352" t="s">
        <v>284</v>
      </c>
      <c r="F8" s="44"/>
      <c r="G8" s="44"/>
      <c r="H8" s="44"/>
      <c r="I8" s="44"/>
      <c r="J8" s="44"/>
      <c r="K8" s="44"/>
      <c r="L8" s="51"/>
      <c r="M8" s="51"/>
      <c r="N8" s="44"/>
      <c r="O8" s="44"/>
      <c r="P8" s="44"/>
      <c r="Q8" s="57"/>
      <c r="R8" s="58"/>
      <c r="S8" s="51"/>
    </row>
    <row r="9" spans="1:19" ht="15">
      <c r="A9" s="349">
        <v>42873</v>
      </c>
      <c r="B9" s="350"/>
      <c r="C9" s="355"/>
      <c r="D9" s="356" t="s">
        <v>297</v>
      </c>
      <c r="F9" s="44"/>
      <c r="G9" s="44"/>
      <c r="H9" s="44"/>
      <c r="I9" s="44"/>
      <c r="J9" s="44"/>
      <c r="K9" s="44"/>
      <c r="L9" s="51"/>
      <c r="M9" s="44"/>
      <c r="N9" s="44"/>
      <c r="O9" s="44"/>
      <c r="P9" s="55">
        <v>33065</v>
      </c>
      <c r="Q9" s="55">
        <v>28500</v>
      </c>
      <c r="R9" s="151">
        <f>P9-Q9</f>
        <v>4565</v>
      </c>
      <c r="S9" s="51"/>
    </row>
    <row r="10" spans="1:19" ht="15">
      <c r="A10" s="349">
        <v>42904</v>
      </c>
      <c r="B10" s="350"/>
      <c r="C10" s="355"/>
      <c r="D10" s="356"/>
      <c r="F10" s="44"/>
      <c r="G10" s="44"/>
      <c r="H10" s="44"/>
      <c r="I10" s="44"/>
      <c r="J10" s="56"/>
      <c r="K10" s="44"/>
      <c r="L10" s="44"/>
      <c r="M10" s="44"/>
      <c r="N10" s="44"/>
      <c r="O10" s="44"/>
      <c r="P10" s="44"/>
      <c r="Q10" s="55"/>
      <c r="R10" s="59"/>
      <c r="S10" s="51"/>
    </row>
    <row r="11" spans="1:19" ht="15">
      <c r="A11" s="349">
        <v>42934</v>
      </c>
      <c r="B11" s="350"/>
      <c r="C11" s="355"/>
      <c r="D11" s="357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5"/>
      <c r="R11" s="59"/>
      <c r="S11" s="51"/>
    </row>
    <row r="12" spans="1:19" ht="15">
      <c r="A12" s="349">
        <v>42965</v>
      </c>
      <c r="B12" s="350">
        <v>900</v>
      </c>
      <c r="C12" s="355"/>
      <c r="D12" s="357" t="s">
        <v>77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55"/>
      <c r="R12" s="59"/>
      <c r="S12" s="51"/>
    </row>
    <row r="13" spans="1:19" ht="15">
      <c r="A13" s="358">
        <v>42996</v>
      </c>
      <c r="B13" s="355">
        <v>500</v>
      </c>
      <c r="C13" s="355">
        <v>4000</v>
      </c>
      <c r="D13" s="357" t="s">
        <v>346</v>
      </c>
      <c r="F13" s="44"/>
      <c r="G13" s="44"/>
      <c r="H13" s="44"/>
      <c r="I13" s="56"/>
      <c r="J13" s="44"/>
      <c r="K13" s="44"/>
      <c r="L13" s="44"/>
      <c r="M13" s="44"/>
      <c r="N13" s="44"/>
      <c r="O13" s="44"/>
      <c r="P13" s="44"/>
      <c r="Q13" s="55"/>
      <c r="R13" s="51"/>
      <c r="S13" s="51"/>
    </row>
    <row r="14" spans="1:19" ht="15">
      <c r="A14" s="358">
        <v>43025</v>
      </c>
      <c r="B14" s="355">
        <v>500</v>
      </c>
      <c r="C14" s="355"/>
      <c r="D14" s="35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123"/>
      <c r="R14" s="51"/>
      <c r="S14" s="51"/>
    </row>
    <row r="15" spans="1:19" ht="15">
      <c r="A15" s="358">
        <v>43056</v>
      </c>
      <c r="B15" s="355">
        <v>500</v>
      </c>
      <c r="C15" s="355"/>
      <c r="D15" s="357"/>
      <c r="F15" s="44"/>
      <c r="G15" s="44"/>
      <c r="H15" s="44"/>
      <c r="I15" s="44"/>
      <c r="J15" s="44"/>
      <c r="K15" s="51"/>
      <c r="L15" s="51"/>
      <c r="M15" s="44"/>
      <c r="N15" s="44"/>
      <c r="O15" s="44"/>
      <c r="P15" s="44"/>
      <c r="Q15" s="55">
        <f>P17-3500</f>
        <v>29565</v>
      </c>
      <c r="R15" s="51"/>
      <c r="S15" s="51"/>
    </row>
    <row r="16" spans="1:19" ht="15">
      <c r="A16" s="358">
        <v>43086</v>
      </c>
      <c r="B16" s="355">
        <v>500</v>
      </c>
      <c r="C16" s="355"/>
      <c r="D16" s="357"/>
      <c r="F16" s="44"/>
      <c r="G16" s="44"/>
      <c r="H16" s="44"/>
      <c r="I16" s="44"/>
      <c r="J16" s="44"/>
      <c r="K16" s="51"/>
      <c r="L16" s="51"/>
      <c r="M16" s="44"/>
      <c r="N16" s="44"/>
      <c r="O16" s="44"/>
      <c r="P16" s="44"/>
      <c r="Q16" s="55"/>
      <c r="R16" s="51"/>
      <c r="S16" s="51"/>
    </row>
    <row r="17" spans="1:19" ht="15.75">
      <c r="A17" s="359"/>
      <c r="B17" s="360">
        <f>SUM(B5:B16)</f>
        <v>3900</v>
      </c>
      <c r="C17" s="351">
        <v>0</v>
      </c>
      <c r="D17" s="359"/>
      <c r="F17" s="44"/>
      <c r="G17" s="44"/>
      <c r="H17" s="44"/>
      <c r="I17" s="44"/>
      <c r="J17" s="44"/>
      <c r="K17" s="51"/>
      <c r="L17" s="26"/>
      <c r="M17" s="44"/>
      <c r="N17" s="44"/>
      <c r="O17" s="44"/>
      <c r="P17" s="55">
        <v>33065</v>
      </c>
      <c r="Q17" s="57">
        <f>P17-4000</f>
        <v>29065</v>
      </c>
      <c r="R17" s="51">
        <v>-4000</v>
      </c>
      <c r="S17" s="51"/>
    </row>
    <row r="18" spans="1:19" ht="15">
      <c r="A18" s="359"/>
      <c r="B18" s="361"/>
      <c r="C18" s="361">
        <f>SUM(C5:C17)</f>
        <v>4000</v>
      </c>
      <c r="D18" s="359"/>
      <c r="F18" s="44"/>
      <c r="G18" s="44"/>
      <c r="H18" s="44"/>
      <c r="I18" s="44"/>
      <c r="J18" s="44"/>
      <c r="K18" s="51"/>
      <c r="L18" s="26"/>
      <c r="M18" s="44"/>
      <c r="N18" s="44"/>
      <c r="O18" s="44"/>
      <c r="P18" s="44"/>
      <c r="Q18" s="56"/>
      <c r="R18" s="51"/>
      <c r="S18" s="51"/>
    </row>
    <row r="19" spans="1:19" ht="15">
      <c r="A19" s="361"/>
      <c r="B19" s="359"/>
      <c r="C19" s="359"/>
      <c r="D19" s="359"/>
      <c r="F19" s="44"/>
      <c r="G19" s="44"/>
      <c r="H19" s="44"/>
      <c r="I19" s="44"/>
      <c r="J19" s="44"/>
      <c r="K19" s="51"/>
      <c r="L19" s="26"/>
      <c r="M19" s="44"/>
      <c r="N19" s="44"/>
      <c r="O19" s="44"/>
      <c r="P19" s="55">
        <f>P17-27000</f>
        <v>6065</v>
      </c>
      <c r="Q19" s="56"/>
      <c r="R19" s="151"/>
      <c r="S19" s="51"/>
    </row>
    <row r="20" spans="1:19" ht="15.75">
      <c r="A20" s="360">
        <f>C3+B17-C18</f>
        <v>6946</v>
      </c>
      <c r="B20" s="359"/>
      <c r="C20" s="359"/>
      <c r="D20" s="359"/>
      <c r="F20" s="44"/>
      <c r="G20" s="44"/>
      <c r="H20" s="44"/>
      <c r="I20" s="44"/>
      <c r="J20" s="44"/>
      <c r="K20" s="44"/>
      <c r="L20" s="52"/>
      <c r="M20" s="44"/>
      <c r="N20" s="44"/>
      <c r="O20" s="44"/>
      <c r="P20" s="44"/>
      <c r="Q20" s="44"/>
      <c r="R20" s="51"/>
      <c r="S20" s="51"/>
    </row>
    <row r="21" spans="1:19" ht="15">
      <c r="A21" s="345"/>
      <c r="B21" s="345"/>
      <c r="C21" s="345"/>
      <c r="D21" s="34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61"/>
      <c r="S21" s="61"/>
    </row>
    <row r="22" spans="6:17" ht="15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U45"/>
  <sheetViews>
    <sheetView zoomScalePageLayoutView="0" workbookViewId="0" topLeftCell="A1">
      <selection activeCell="I22" sqref="I22"/>
    </sheetView>
  </sheetViews>
  <sheetFormatPr defaultColWidth="9.140625" defaultRowHeight="12.75"/>
  <cols>
    <col min="3" max="3" width="9.28125" style="0" bestFit="1" customWidth="1"/>
    <col min="6" max="7" width="11.28125" style="0" bestFit="1" customWidth="1"/>
    <col min="8" max="8" width="11.8515625" style="0" bestFit="1" customWidth="1"/>
    <col min="9" max="9" width="11.28125" style="0" bestFit="1" customWidth="1"/>
    <col min="11" max="12" width="11.28125" style="0" bestFit="1" customWidth="1"/>
    <col min="13" max="13" width="10.28125" style="0" bestFit="1" customWidth="1"/>
    <col min="14" max="14" width="11.28125" style="0" bestFit="1" customWidth="1"/>
    <col min="18" max="18" width="9.28125" style="0" bestFit="1" customWidth="1"/>
  </cols>
  <sheetData>
    <row r="3" spans="2:20" ht="12.75">
      <c r="B3" s="23" t="s">
        <v>149</v>
      </c>
      <c r="C3" s="23">
        <v>1304</v>
      </c>
      <c r="D3" s="13">
        <f>C3-C12</f>
        <v>166</v>
      </c>
      <c r="S3" t="s">
        <v>25</v>
      </c>
      <c r="T3" t="s">
        <v>27</v>
      </c>
    </row>
    <row r="4" spans="2:19" ht="12.75">
      <c r="B4" s="23"/>
      <c r="C4" s="23"/>
      <c r="Q4" s="13"/>
      <c r="S4" s="23">
        <v>202.13</v>
      </c>
    </row>
    <row r="5" spans="2:19" ht="12.75">
      <c r="B5" s="23"/>
      <c r="C5" s="23"/>
      <c r="S5" s="23">
        <v>82.83</v>
      </c>
    </row>
    <row r="6" spans="2:19" ht="12.75">
      <c r="B6" s="23"/>
      <c r="C6" s="23"/>
      <c r="S6" s="23">
        <v>62.84</v>
      </c>
    </row>
    <row r="7" spans="1:19" ht="12.75">
      <c r="A7">
        <v>196800</v>
      </c>
      <c r="B7" s="23">
        <v>968</v>
      </c>
      <c r="C7" s="23"/>
      <c r="S7" s="23">
        <v>43.56</v>
      </c>
    </row>
    <row r="8" spans="1:19" ht="12.75">
      <c r="A8" s="29">
        <v>196990</v>
      </c>
      <c r="B8" s="30">
        <v>969</v>
      </c>
      <c r="C8" s="23"/>
      <c r="H8" s="23">
        <v>190744</v>
      </c>
      <c r="K8" s="23">
        <f>H8+5400</f>
        <v>196144</v>
      </c>
      <c r="L8" s="13"/>
      <c r="S8" s="23">
        <f>SUM(S4:S7)</f>
        <v>391.35999999999996</v>
      </c>
    </row>
    <row r="9" spans="2:21" ht="12.75">
      <c r="B9" s="23"/>
      <c r="C9" s="23"/>
      <c r="S9" s="23"/>
      <c r="U9" s="13">
        <f>S8-175</f>
        <v>216.35999999999996</v>
      </c>
    </row>
    <row r="10" spans="1:10" ht="12.75">
      <c r="A10">
        <v>196600</v>
      </c>
      <c r="B10" s="23">
        <v>967</v>
      </c>
      <c r="C10" s="23">
        <v>944</v>
      </c>
      <c r="D10" s="23"/>
      <c r="E10" s="23"/>
      <c r="F10" s="23"/>
      <c r="G10" s="23"/>
      <c r="H10" s="23"/>
      <c r="I10" s="23"/>
      <c r="J10" s="23"/>
    </row>
    <row r="11" spans="1:13" ht="12.75">
      <c r="A11">
        <v>196700</v>
      </c>
      <c r="B11" s="23">
        <v>968</v>
      </c>
      <c r="C11" s="23">
        <v>194</v>
      </c>
      <c r="D11" s="23"/>
      <c r="E11" s="23"/>
      <c r="F11" s="23"/>
      <c r="G11" s="23"/>
      <c r="H11" s="23"/>
      <c r="I11" s="23"/>
      <c r="J11" s="23"/>
      <c r="K11" s="30">
        <v>196000</v>
      </c>
      <c r="M11" s="13">
        <f>K11-G29</f>
        <v>8944</v>
      </c>
    </row>
    <row r="12" spans="2:15" ht="12.75">
      <c r="B12" s="23"/>
      <c r="C12" s="23">
        <f>SUM(C10:C11)</f>
        <v>1138</v>
      </c>
      <c r="D12" s="23"/>
      <c r="E12" s="23" t="s">
        <v>120</v>
      </c>
      <c r="F12" s="23">
        <v>193243</v>
      </c>
      <c r="G12" s="23"/>
      <c r="H12" s="23" t="s">
        <v>125</v>
      </c>
      <c r="I12" s="23"/>
      <c r="J12" s="32" t="s">
        <v>150</v>
      </c>
      <c r="K12" s="27">
        <v>922</v>
      </c>
      <c r="L12" s="28"/>
      <c r="N12" s="23">
        <v>1416</v>
      </c>
      <c r="O12" s="33" t="s">
        <v>151</v>
      </c>
    </row>
    <row r="13" spans="2:12" ht="12.75">
      <c r="B13" s="23"/>
      <c r="C13" s="23"/>
      <c r="D13" s="23"/>
      <c r="E13" s="23" t="s">
        <v>121</v>
      </c>
      <c r="F13" s="23">
        <v>192890</v>
      </c>
      <c r="G13" s="23"/>
      <c r="H13" s="23" t="s">
        <v>152</v>
      </c>
      <c r="I13" s="23"/>
      <c r="J13" s="34" t="s">
        <v>153</v>
      </c>
      <c r="K13" s="27">
        <v>252</v>
      </c>
      <c r="L13" s="26"/>
    </row>
    <row r="14" spans="3:12" ht="12.75">
      <c r="C14" s="23"/>
      <c r="D14" s="23"/>
      <c r="E14" s="23" t="s">
        <v>122</v>
      </c>
      <c r="F14" s="23">
        <v>353</v>
      </c>
      <c r="G14" s="23">
        <f>F13-F14</f>
        <v>192537</v>
      </c>
      <c r="H14" s="23"/>
      <c r="I14" s="23"/>
      <c r="J14" s="23"/>
      <c r="K14" s="27">
        <f>SUM(K12:K13)</f>
        <v>1174</v>
      </c>
      <c r="L14" s="26"/>
    </row>
    <row r="15" spans="3:14" ht="12.75">
      <c r="C15" s="23"/>
      <c r="D15" s="23"/>
      <c r="E15" s="23" t="s">
        <v>123</v>
      </c>
      <c r="F15" s="23">
        <v>351</v>
      </c>
      <c r="G15" s="23">
        <f aca="true" t="shared" si="0" ref="G15:G30">G14-F15</f>
        <v>192186</v>
      </c>
      <c r="H15" s="23"/>
      <c r="I15" s="23"/>
      <c r="J15" s="23"/>
      <c r="K15" s="27"/>
      <c r="L15" s="26"/>
      <c r="N15" s="13">
        <f>N12-K14</f>
        <v>242</v>
      </c>
    </row>
    <row r="16" spans="3:11" ht="12.75">
      <c r="C16" s="23"/>
      <c r="D16" s="23"/>
      <c r="E16" s="23" t="s">
        <v>124</v>
      </c>
      <c r="F16" s="23">
        <v>359</v>
      </c>
      <c r="G16" s="23">
        <f t="shared" si="0"/>
        <v>191827</v>
      </c>
      <c r="H16" s="23"/>
      <c r="I16" s="23"/>
      <c r="J16" s="23"/>
      <c r="K16" s="23"/>
    </row>
    <row r="17" spans="3:11" ht="12.75">
      <c r="C17" s="23"/>
      <c r="D17" s="23"/>
      <c r="E17" s="23" t="s">
        <v>125</v>
      </c>
      <c r="F17" s="23">
        <v>359</v>
      </c>
      <c r="G17" s="23">
        <v>191465</v>
      </c>
      <c r="H17" s="23"/>
      <c r="I17" s="23"/>
      <c r="J17" s="23"/>
      <c r="K17" s="23"/>
    </row>
    <row r="18" spans="3:12" ht="12.75">
      <c r="C18" s="23"/>
      <c r="D18" s="23"/>
      <c r="E18" s="23" t="s">
        <v>126</v>
      </c>
      <c r="F18" s="23">
        <v>359</v>
      </c>
      <c r="G18" s="23">
        <f t="shared" si="0"/>
        <v>191106</v>
      </c>
      <c r="H18" s="23">
        <f>H8-G18</f>
        <v>-362</v>
      </c>
      <c r="I18" s="23"/>
      <c r="J18" s="23"/>
      <c r="K18" s="23"/>
      <c r="L18" s="13">
        <f>C3-K14</f>
        <v>130</v>
      </c>
    </row>
    <row r="19" spans="5:18" ht="12.75">
      <c r="E19" s="23" t="s">
        <v>128</v>
      </c>
      <c r="F19" s="23">
        <v>362</v>
      </c>
      <c r="G19" s="23">
        <f t="shared" si="0"/>
        <v>190744</v>
      </c>
      <c r="H19" s="13">
        <f>H8-G19</f>
        <v>0</v>
      </c>
      <c r="R19" s="13"/>
    </row>
    <row r="20" spans="5:8" ht="12.75">
      <c r="E20" s="23" t="s">
        <v>129</v>
      </c>
      <c r="F20" s="23">
        <v>364</v>
      </c>
      <c r="G20" s="23">
        <f t="shared" si="0"/>
        <v>190380</v>
      </c>
      <c r="H20" s="13">
        <f>H8-G20</f>
        <v>364</v>
      </c>
    </row>
    <row r="21" spans="5:8" ht="12.75">
      <c r="E21" s="23" t="s">
        <v>154</v>
      </c>
      <c r="F21" s="23">
        <v>365</v>
      </c>
      <c r="G21" s="23">
        <f t="shared" si="0"/>
        <v>190015</v>
      </c>
      <c r="H21" s="13">
        <f>H8-G21</f>
        <v>729</v>
      </c>
    </row>
    <row r="22" spans="5:20" ht="12.75">
      <c r="E22" s="23" t="s">
        <v>155</v>
      </c>
      <c r="F22" s="23">
        <v>365</v>
      </c>
      <c r="G22" s="23">
        <f t="shared" si="0"/>
        <v>189650</v>
      </c>
      <c r="Q22" s="26" t="s">
        <v>153</v>
      </c>
      <c r="R22" s="27">
        <v>600</v>
      </c>
      <c r="S22" s="26" t="s">
        <v>59</v>
      </c>
      <c r="T22" s="26"/>
    </row>
    <row r="23" spans="5:20" ht="12.75">
      <c r="E23" s="23" t="s">
        <v>119</v>
      </c>
      <c r="F23" s="23">
        <v>366</v>
      </c>
      <c r="G23" s="30">
        <f t="shared" si="0"/>
        <v>189284</v>
      </c>
      <c r="Q23" s="26"/>
      <c r="R23" s="27">
        <v>1213</v>
      </c>
      <c r="S23" s="26"/>
      <c r="T23" s="26"/>
    </row>
    <row r="24" spans="5:20" ht="12.75">
      <c r="E24" s="23" t="s">
        <v>120</v>
      </c>
      <c r="F24" s="23">
        <v>368</v>
      </c>
      <c r="G24" s="31">
        <f t="shared" si="0"/>
        <v>188916</v>
      </c>
      <c r="H24" s="23">
        <v>191000</v>
      </c>
      <c r="I24" t="s">
        <v>156</v>
      </c>
      <c r="Q24" s="26"/>
      <c r="R24" s="27">
        <v>1213</v>
      </c>
      <c r="S24" s="26"/>
      <c r="T24" s="26"/>
    </row>
    <row r="25" spans="5:20" ht="12.75">
      <c r="E25" s="23" t="s">
        <v>121</v>
      </c>
      <c r="F25" s="23">
        <v>368</v>
      </c>
      <c r="G25" s="31">
        <f t="shared" si="0"/>
        <v>188548</v>
      </c>
      <c r="H25" s="23">
        <f>H24-G21</f>
        <v>985</v>
      </c>
      <c r="I25" t="s">
        <v>157</v>
      </c>
      <c r="L25" s="35" t="s">
        <v>158</v>
      </c>
      <c r="M25" s="36"/>
      <c r="N25" s="23"/>
      <c r="Q25" s="26"/>
      <c r="R25" s="27"/>
      <c r="S25" s="26"/>
      <c r="T25" s="26"/>
    </row>
    <row r="26" spans="5:20" ht="12.75">
      <c r="E26" s="23" t="s">
        <v>122</v>
      </c>
      <c r="F26" s="23">
        <v>368</v>
      </c>
      <c r="G26" s="31">
        <f t="shared" si="0"/>
        <v>188180</v>
      </c>
      <c r="H26" s="23">
        <v>1300</v>
      </c>
      <c r="I26" t="s">
        <v>159</v>
      </c>
      <c r="L26" s="37" t="s">
        <v>160</v>
      </c>
      <c r="M26" s="38">
        <v>5000</v>
      </c>
      <c r="N26" s="23"/>
      <c r="Q26" s="26"/>
      <c r="R26" s="27"/>
      <c r="S26" s="26"/>
      <c r="T26" s="26"/>
    </row>
    <row r="27" spans="5:20" ht="12.75">
      <c r="E27" s="23" t="s">
        <v>123</v>
      </c>
      <c r="F27" s="23">
        <v>368</v>
      </c>
      <c r="G27" s="31">
        <v>187804</v>
      </c>
      <c r="H27" s="23">
        <f>SUM(H25:H26)</f>
        <v>2285</v>
      </c>
      <c r="I27" t="s">
        <v>20</v>
      </c>
      <c r="L27" s="37" t="s">
        <v>160</v>
      </c>
      <c r="M27" s="38">
        <v>1500</v>
      </c>
      <c r="N27" s="23"/>
      <c r="Q27" s="26"/>
      <c r="R27" s="27">
        <f>SUM(R22:R26)</f>
        <v>3026</v>
      </c>
      <c r="S27" s="26"/>
      <c r="T27" s="28">
        <f>R27/12</f>
        <v>252.16666666666666</v>
      </c>
    </row>
    <row r="28" spans="5:14" ht="12.75">
      <c r="E28" s="23" t="s">
        <v>124</v>
      </c>
      <c r="F28" s="23">
        <v>373</v>
      </c>
      <c r="G28" s="31">
        <f t="shared" si="0"/>
        <v>187431</v>
      </c>
      <c r="H28" s="23"/>
      <c r="L28" s="39" t="s">
        <v>161</v>
      </c>
      <c r="M28" s="38">
        <v>5000</v>
      </c>
      <c r="N28" s="23"/>
    </row>
    <row r="29" spans="5:16" ht="12.75">
      <c r="E29" s="23" t="s">
        <v>125</v>
      </c>
      <c r="F29" s="23">
        <v>375</v>
      </c>
      <c r="G29" s="31">
        <f t="shared" si="0"/>
        <v>187056</v>
      </c>
      <c r="H29" s="23"/>
      <c r="I29" s="13">
        <f>G29+9500</f>
        <v>196556</v>
      </c>
      <c r="L29" s="40" t="s">
        <v>162</v>
      </c>
      <c r="M29" s="41">
        <v>1800</v>
      </c>
      <c r="N29" s="23"/>
      <c r="P29" s="13"/>
    </row>
    <row r="30" spans="5:14" ht="12.75">
      <c r="E30" s="23" t="s">
        <v>126</v>
      </c>
      <c r="F30" s="23">
        <v>375</v>
      </c>
      <c r="G30" s="31">
        <f t="shared" si="0"/>
        <v>186681</v>
      </c>
      <c r="H30" s="23"/>
      <c r="L30" s="40"/>
      <c r="M30" s="38">
        <f>SUM(M26:M29)</f>
        <v>13300</v>
      </c>
      <c r="N30" s="42"/>
    </row>
    <row r="31" spans="8:14" ht="12.75">
      <c r="H31" s="13"/>
      <c r="L31" s="40" t="s">
        <v>163</v>
      </c>
      <c r="M31" s="38">
        <v>3000</v>
      </c>
      <c r="N31" s="33" t="s">
        <v>164</v>
      </c>
    </row>
    <row r="32" spans="7:13" ht="12.75">
      <c r="G32" s="13"/>
      <c r="L32" s="23"/>
      <c r="M32" s="43">
        <f>M30-M31</f>
        <v>10300</v>
      </c>
    </row>
    <row r="33" ht="12.75">
      <c r="L33" s="23"/>
    </row>
    <row r="41" ht="12.75">
      <c r="R41">
        <v>2677</v>
      </c>
    </row>
    <row r="43" ht="12.75">
      <c r="R43">
        <f>R41-1400</f>
        <v>1277</v>
      </c>
    </row>
    <row r="45" ht="12.75">
      <c r="S45">
        <f>R43-1400</f>
        <v>-123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70"/>
  <sheetViews>
    <sheetView zoomScalePageLayoutView="0" workbookViewId="0" topLeftCell="A52">
      <selection activeCell="E61" sqref="E61"/>
    </sheetView>
  </sheetViews>
  <sheetFormatPr defaultColWidth="9.140625" defaultRowHeight="12.75"/>
  <cols>
    <col min="1" max="1" width="16.28125" style="0" customWidth="1"/>
    <col min="2" max="2" width="4.421875" style="0" customWidth="1"/>
    <col min="3" max="3" width="14.28125" style="0" bestFit="1" customWidth="1"/>
    <col min="4" max="5" width="13.140625" style="0" bestFit="1" customWidth="1"/>
    <col min="6" max="7" width="10.28125" style="0" bestFit="1" customWidth="1"/>
    <col min="8" max="8" width="15.57421875" style="0" bestFit="1" customWidth="1"/>
    <col min="9" max="9" width="12.8515625" style="0" bestFit="1" customWidth="1"/>
    <col min="10" max="10" width="9.28125" style="0" bestFit="1" customWidth="1"/>
    <col min="11" max="11" width="10.28125" style="0" bestFit="1" customWidth="1"/>
    <col min="12" max="12" width="9.28125" style="0" bestFit="1" customWidth="1"/>
    <col min="13" max="13" width="10.28125" style="0" bestFit="1" customWidth="1"/>
    <col min="14" max="15" width="9.28125" style="0" bestFit="1" customWidth="1"/>
    <col min="16" max="16" width="10.28125" style="0" bestFit="1" customWidth="1"/>
    <col min="18" max="18" width="10.28125" style="0" bestFit="1" customWidth="1"/>
    <col min="19" max="19" width="9.28125" style="0" bestFit="1" customWidth="1"/>
  </cols>
  <sheetData>
    <row r="2" ht="12.75">
      <c r="A2" t="s">
        <v>165</v>
      </c>
    </row>
    <row r="3" spans="1:5" ht="15">
      <c r="A3" s="8" t="s">
        <v>166</v>
      </c>
      <c r="B3" s="8"/>
      <c r="C3" s="8" t="s">
        <v>44</v>
      </c>
      <c r="D3" s="8" t="s">
        <v>167</v>
      </c>
      <c r="E3" s="5"/>
    </row>
    <row r="4" spans="1:9" ht="15">
      <c r="A4" s="9">
        <v>41554</v>
      </c>
      <c r="B4" s="5"/>
      <c r="C4" s="4">
        <v>5451</v>
      </c>
      <c r="D4" s="4">
        <v>29540</v>
      </c>
      <c r="E4" s="4">
        <f aca="true" t="shared" si="0" ref="E4:E47">SUM(C4:D4)</f>
        <v>34991</v>
      </c>
      <c r="F4" s="5"/>
      <c r="I4" s="5"/>
    </row>
    <row r="5" spans="1:10" ht="15.75">
      <c r="A5" s="9">
        <v>41568</v>
      </c>
      <c r="B5" s="5"/>
      <c r="C5" s="7">
        <v>5592</v>
      </c>
      <c r="D5" s="4">
        <v>30111</v>
      </c>
      <c r="E5" s="4">
        <f t="shared" si="0"/>
        <v>35703</v>
      </c>
      <c r="F5" s="5"/>
      <c r="G5" s="10" t="s">
        <v>20</v>
      </c>
      <c r="H5" s="11">
        <f>E45</f>
        <v>30689</v>
      </c>
      <c r="I5" s="5"/>
      <c r="J5" s="13"/>
    </row>
    <row r="6" spans="1:9" ht="15">
      <c r="A6" s="9">
        <v>41584</v>
      </c>
      <c r="B6" s="5"/>
      <c r="C6" s="7">
        <v>5634</v>
      </c>
      <c r="D6" s="4">
        <v>29992</v>
      </c>
      <c r="E6" s="4">
        <f t="shared" si="0"/>
        <v>35626</v>
      </c>
      <c r="F6" s="5"/>
      <c r="G6" s="5"/>
      <c r="H6" s="5"/>
      <c r="I6" s="7"/>
    </row>
    <row r="7" spans="1:9" ht="15">
      <c r="A7" s="9">
        <v>41601</v>
      </c>
      <c r="B7" s="5"/>
      <c r="C7" s="7">
        <v>6076</v>
      </c>
      <c r="D7" s="4">
        <v>30501</v>
      </c>
      <c r="E7" s="4">
        <f t="shared" si="0"/>
        <v>36577</v>
      </c>
      <c r="F7" s="5"/>
      <c r="G7" s="5"/>
      <c r="H7" s="5"/>
      <c r="I7" s="5"/>
    </row>
    <row r="8" spans="1:12" ht="15">
      <c r="A8" s="9">
        <v>41636</v>
      </c>
      <c r="B8" s="5"/>
      <c r="C8" s="7">
        <v>6181</v>
      </c>
      <c r="D8" s="4">
        <v>30738</v>
      </c>
      <c r="E8" s="4">
        <f t="shared" si="0"/>
        <v>36919</v>
      </c>
      <c r="F8" s="5"/>
      <c r="G8" s="5"/>
      <c r="H8" s="7"/>
      <c r="I8" s="7"/>
      <c r="L8" s="13"/>
    </row>
    <row r="9" spans="1:9" ht="15.75">
      <c r="A9" s="9">
        <v>41697</v>
      </c>
      <c r="B9" s="5"/>
      <c r="C9" s="7">
        <v>6518</v>
      </c>
      <c r="D9" s="4">
        <v>30701</v>
      </c>
      <c r="E9" s="2">
        <f t="shared" si="0"/>
        <v>37219</v>
      </c>
      <c r="F9" s="5"/>
      <c r="G9" s="5"/>
      <c r="H9" s="5"/>
      <c r="I9" s="5"/>
    </row>
    <row r="10" spans="1:9" ht="15">
      <c r="A10" s="9">
        <v>41740</v>
      </c>
      <c r="B10" s="5"/>
      <c r="C10" s="4">
        <v>4556</v>
      </c>
      <c r="D10" s="4">
        <v>30349</v>
      </c>
      <c r="E10" s="4">
        <f t="shared" si="0"/>
        <v>34905</v>
      </c>
      <c r="F10" s="5"/>
      <c r="G10" s="5"/>
      <c r="H10" s="7"/>
      <c r="I10" s="5"/>
    </row>
    <row r="11" spans="1:9" ht="15">
      <c r="A11" s="9">
        <v>41787</v>
      </c>
      <c r="B11" s="5"/>
      <c r="C11" s="4">
        <v>5013</v>
      </c>
      <c r="D11" s="4">
        <v>31009</v>
      </c>
      <c r="E11" s="4">
        <f t="shared" si="0"/>
        <v>36022</v>
      </c>
      <c r="F11" s="5"/>
      <c r="G11" s="5"/>
      <c r="H11" s="7"/>
      <c r="I11" s="5"/>
    </row>
    <row r="12" spans="1:9" ht="15">
      <c r="A12" s="9">
        <v>41803</v>
      </c>
      <c r="B12" s="5"/>
      <c r="C12" s="4">
        <v>5090</v>
      </c>
      <c r="D12" s="4">
        <v>31279</v>
      </c>
      <c r="E12" s="4">
        <f t="shared" si="0"/>
        <v>36369</v>
      </c>
      <c r="F12" s="5"/>
      <c r="G12" s="5"/>
      <c r="H12" s="7"/>
      <c r="I12" s="5"/>
    </row>
    <row r="13" spans="1:23" ht="15">
      <c r="A13" s="9">
        <v>41838</v>
      </c>
      <c r="B13" s="5"/>
      <c r="C13" s="4">
        <v>5119</v>
      </c>
      <c r="D13" s="4">
        <v>31355</v>
      </c>
      <c r="E13" s="4">
        <f t="shared" si="0"/>
        <v>36474</v>
      </c>
      <c r="F13" s="5"/>
      <c r="G13" s="5"/>
      <c r="H13" s="7"/>
      <c r="I13" s="5"/>
      <c r="K13" s="13">
        <f>K21/2000</f>
        <v>14.349</v>
      </c>
      <c r="W13" t="s">
        <v>168</v>
      </c>
    </row>
    <row r="14" spans="1:23" ht="15">
      <c r="A14" s="9">
        <v>41848</v>
      </c>
      <c r="C14" s="4">
        <v>5149</v>
      </c>
      <c r="D14" s="4">
        <v>31541</v>
      </c>
      <c r="E14" s="7">
        <f t="shared" si="0"/>
        <v>36690</v>
      </c>
      <c r="F14" s="5"/>
      <c r="G14" s="7"/>
      <c r="H14" s="7"/>
      <c r="I14" s="5"/>
      <c r="K14" s="24"/>
      <c r="M14" s="24"/>
      <c r="W14" s="23">
        <v>4.13</v>
      </c>
    </row>
    <row r="15" spans="1:23" ht="15">
      <c r="A15" s="9">
        <v>41862</v>
      </c>
      <c r="C15" s="4">
        <v>5036</v>
      </c>
      <c r="D15" s="4">
        <v>30951</v>
      </c>
      <c r="E15" s="7">
        <f t="shared" si="0"/>
        <v>35987</v>
      </c>
      <c r="F15" s="5"/>
      <c r="G15" s="5"/>
      <c r="H15" s="12"/>
      <c r="I15" s="4"/>
      <c r="K15" s="13"/>
      <c r="M15" s="23"/>
      <c r="O15" s="13"/>
      <c r="W15" s="23">
        <v>5.62</v>
      </c>
    </row>
    <row r="16" spans="1:23" ht="15">
      <c r="A16" s="9">
        <v>41876</v>
      </c>
      <c r="C16" s="4">
        <v>5487</v>
      </c>
      <c r="D16" s="4">
        <v>31404</v>
      </c>
      <c r="E16" s="7">
        <f t="shared" si="0"/>
        <v>36891</v>
      </c>
      <c r="K16" s="23"/>
      <c r="M16" s="23"/>
      <c r="W16" s="23">
        <v>6.31</v>
      </c>
    </row>
    <row r="17" spans="1:23" ht="15">
      <c r="A17" s="9">
        <v>41920</v>
      </c>
      <c r="C17" s="4">
        <v>5282</v>
      </c>
      <c r="D17" s="7">
        <v>30536</v>
      </c>
      <c r="E17" s="7">
        <f t="shared" si="0"/>
        <v>35818</v>
      </c>
      <c r="F17" s="13"/>
      <c r="K17" s="13"/>
      <c r="M17" s="23"/>
      <c r="W17" s="23">
        <v>55.56</v>
      </c>
    </row>
    <row r="18" spans="1:23" ht="15">
      <c r="A18" s="9">
        <v>41946</v>
      </c>
      <c r="C18" s="4">
        <v>5503</v>
      </c>
      <c r="D18" s="7">
        <v>30833</v>
      </c>
      <c r="E18" s="4">
        <f t="shared" si="0"/>
        <v>36336</v>
      </c>
      <c r="I18" s="7"/>
      <c r="W18" s="23">
        <v>7.28</v>
      </c>
    </row>
    <row r="19" spans="1:23" ht="15">
      <c r="A19" s="9">
        <v>41972</v>
      </c>
      <c r="C19" s="4">
        <v>5904</v>
      </c>
      <c r="D19" s="7">
        <v>31250</v>
      </c>
      <c r="E19" s="4">
        <f t="shared" si="0"/>
        <v>37154</v>
      </c>
      <c r="I19" s="7"/>
      <c r="K19" s="13"/>
      <c r="M19" s="13"/>
      <c r="O19">
        <v>2015</v>
      </c>
      <c r="W19" s="23">
        <v>57.45</v>
      </c>
    </row>
    <row r="20" spans="1:23" ht="15">
      <c r="A20" s="9">
        <v>42005</v>
      </c>
      <c r="C20" s="4">
        <v>5915</v>
      </c>
      <c r="D20" s="7">
        <v>30486</v>
      </c>
      <c r="E20" s="4">
        <f t="shared" si="0"/>
        <v>36401</v>
      </c>
      <c r="I20" s="7"/>
      <c r="J20" s="25">
        <v>2016</v>
      </c>
      <c r="K20" s="26"/>
      <c r="N20" s="337" t="s">
        <v>169</v>
      </c>
      <c r="O20" s="337" t="s">
        <v>44</v>
      </c>
      <c r="P20" s="26"/>
      <c r="Q20" s="26"/>
      <c r="R20" s="26" t="s">
        <v>163</v>
      </c>
      <c r="W20" s="23">
        <v>27.52</v>
      </c>
    </row>
    <row r="21" spans="1:23" ht="15">
      <c r="A21" s="14">
        <v>42117</v>
      </c>
      <c r="B21" s="15"/>
      <c r="C21" s="16">
        <v>1234</v>
      </c>
      <c r="D21" s="17">
        <v>26497</v>
      </c>
      <c r="E21" s="16">
        <f t="shared" si="0"/>
        <v>27731</v>
      </c>
      <c r="G21" s="13"/>
      <c r="I21" s="7"/>
      <c r="J21" s="27">
        <v>2000</v>
      </c>
      <c r="K21" s="27">
        <v>28698</v>
      </c>
      <c r="N21" s="27">
        <v>5000</v>
      </c>
      <c r="O21" s="27">
        <v>5000</v>
      </c>
      <c r="P21" s="26"/>
      <c r="Q21" s="26"/>
      <c r="R21" s="27">
        <v>5000</v>
      </c>
      <c r="W21" s="23">
        <v>130</v>
      </c>
    </row>
    <row r="22" spans="1:23" ht="15">
      <c r="A22" s="9">
        <v>42158</v>
      </c>
      <c r="C22" s="4">
        <v>1572</v>
      </c>
      <c r="D22" s="7">
        <v>26500</v>
      </c>
      <c r="E22" s="4">
        <f t="shared" si="0"/>
        <v>28072</v>
      </c>
      <c r="I22" s="7"/>
      <c r="J22" s="27">
        <f>J21*0.24</f>
        <v>480</v>
      </c>
      <c r="K22" s="26"/>
      <c r="N22" s="27">
        <f>N21*0.04</f>
        <v>200</v>
      </c>
      <c r="O22" s="27"/>
      <c r="P22" s="26"/>
      <c r="Q22" s="26"/>
      <c r="R22" s="27"/>
      <c r="W22" s="23">
        <v>10.38</v>
      </c>
    </row>
    <row r="23" spans="1:23" ht="15">
      <c r="A23" s="18">
        <v>42181</v>
      </c>
      <c r="C23" s="4">
        <v>1572</v>
      </c>
      <c r="D23" s="7">
        <v>26332</v>
      </c>
      <c r="E23" s="4">
        <f t="shared" si="0"/>
        <v>27904</v>
      </c>
      <c r="G23" s="13"/>
      <c r="J23" s="27"/>
      <c r="K23" s="26"/>
      <c r="N23" s="27">
        <v>177</v>
      </c>
      <c r="O23" s="27">
        <f>O21*0.24</f>
        <v>1200</v>
      </c>
      <c r="P23" s="26"/>
      <c r="Q23" s="26"/>
      <c r="R23" s="27">
        <f>R21*0.1</f>
        <v>500</v>
      </c>
      <c r="W23" s="23">
        <v>21.78</v>
      </c>
    </row>
    <row r="24" spans="1:23" ht="15">
      <c r="A24" s="18">
        <v>42223</v>
      </c>
      <c r="C24" s="4">
        <v>1540</v>
      </c>
      <c r="D24" s="7">
        <v>25819</v>
      </c>
      <c r="E24" s="4">
        <f t="shared" si="0"/>
        <v>27359</v>
      </c>
      <c r="J24" s="27">
        <f>J21-J22</f>
        <v>1520</v>
      </c>
      <c r="K24" s="28">
        <f>K21-J21</f>
        <v>26698</v>
      </c>
      <c r="N24" s="27">
        <f>N21*0.1</f>
        <v>500</v>
      </c>
      <c r="O24" s="27"/>
      <c r="P24" s="26"/>
      <c r="Q24" s="26"/>
      <c r="R24" s="27">
        <v>177</v>
      </c>
      <c r="W24" s="23">
        <v>5.62</v>
      </c>
    </row>
    <row r="25" spans="1:23" ht="15">
      <c r="A25" s="19">
        <v>42272</v>
      </c>
      <c r="C25" s="4">
        <v>1761</v>
      </c>
      <c r="D25" s="7">
        <v>24270</v>
      </c>
      <c r="E25" s="4">
        <f t="shared" si="0"/>
        <v>26031</v>
      </c>
      <c r="G25" s="13"/>
      <c r="J25" s="27"/>
      <c r="K25" s="26"/>
      <c r="N25" s="27">
        <f>SUM(N23:N24)</f>
        <v>677</v>
      </c>
      <c r="O25" s="27">
        <f>SUM(O23:O24)</f>
        <v>1200</v>
      </c>
      <c r="P25" s="28"/>
      <c r="Q25" s="28"/>
      <c r="R25" s="27">
        <f>R21*0.04</f>
        <v>200</v>
      </c>
      <c r="S25" s="13">
        <f>O25+R27</f>
        <v>2077</v>
      </c>
      <c r="W25" s="23">
        <v>43.47</v>
      </c>
    </row>
    <row r="26" spans="1:23" ht="15">
      <c r="A26" s="19">
        <v>42309</v>
      </c>
      <c r="C26" s="4">
        <v>1831</v>
      </c>
      <c r="D26" s="7">
        <v>25202</v>
      </c>
      <c r="E26" s="4">
        <f t="shared" si="0"/>
        <v>27033</v>
      </c>
      <c r="G26" s="13"/>
      <c r="H26" s="13"/>
      <c r="J26" s="27" t="s">
        <v>44</v>
      </c>
      <c r="K26" s="26"/>
      <c r="N26" s="27"/>
      <c r="O26" s="27"/>
      <c r="P26" s="28"/>
      <c r="Q26" s="28"/>
      <c r="R26" s="27"/>
      <c r="S26" s="13"/>
      <c r="W26" s="23">
        <v>29.89</v>
      </c>
    </row>
    <row r="27" spans="1:23" ht="15">
      <c r="A27" s="20"/>
      <c r="C27" s="4">
        <v>2145</v>
      </c>
      <c r="D27" s="7">
        <v>24718</v>
      </c>
      <c r="E27" s="4">
        <f t="shared" si="0"/>
        <v>26863</v>
      </c>
      <c r="G27" s="13"/>
      <c r="J27" s="27">
        <v>500</v>
      </c>
      <c r="K27" s="26"/>
      <c r="N27" s="27"/>
      <c r="O27" s="26"/>
      <c r="P27" s="26"/>
      <c r="Q27" s="26"/>
      <c r="R27" s="27">
        <f>SUM(R23:R25)</f>
        <v>877</v>
      </c>
      <c r="W27" s="23">
        <v>141</v>
      </c>
    </row>
    <row r="28" spans="1:23" ht="15">
      <c r="A28" s="21">
        <v>42395</v>
      </c>
      <c r="C28" s="4">
        <v>1957</v>
      </c>
      <c r="D28" s="7">
        <v>23239</v>
      </c>
      <c r="E28" s="4">
        <f t="shared" si="0"/>
        <v>25196</v>
      </c>
      <c r="J28" s="27">
        <f>J27*0.24</f>
        <v>120</v>
      </c>
      <c r="K28" s="26"/>
      <c r="N28" s="332">
        <v>43009</v>
      </c>
      <c r="O28" s="335"/>
      <c r="P28" s="26"/>
      <c r="Q28" s="26"/>
      <c r="R28" s="27"/>
      <c r="W28" s="23">
        <v>10.92</v>
      </c>
    </row>
    <row r="29" spans="1:23" ht="15">
      <c r="A29" s="21">
        <v>42483</v>
      </c>
      <c r="C29" s="4">
        <v>2561</v>
      </c>
      <c r="D29" s="7">
        <v>24764</v>
      </c>
      <c r="E29" s="4">
        <f t="shared" si="0"/>
        <v>27325</v>
      </c>
      <c r="G29" s="13"/>
      <c r="N29" s="333" t="s">
        <v>173</v>
      </c>
      <c r="O29" s="336" t="s">
        <v>174</v>
      </c>
      <c r="P29" s="26"/>
      <c r="Q29" s="26"/>
      <c r="R29" s="27"/>
      <c r="W29" s="23">
        <v>29.1</v>
      </c>
    </row>
    <row r="30" spans="1:23" ht="15">
      <c r="A30" s="21">
        <v>42565</v>
      </c>
      <c r="C30" s="4">
        <v>3004</v>
      </c>
      <c r="D30" s="7">
        <v>24768</v>
      </c>
      <c r="E30" s="4">
        <f t="shared" si="0"/>
        <v>27772</v>
      </c>
      <c r="N30" s="334">
        <v>938</v>
      </c>
      <c r="O30" s="336"/>
      <c r="P30" s="26"/>
      <c r="Q30" s="26"/>
      <c r="R30" s="27"/>
      <c r="W30" s="23">
        <v>13.9</v>
      </c>
    </row>
    <row r="31" spans="1:23" ht="15">
      <c r="A31" s="21">
        <v>42606</v>
      </c>
      <c r="C31" s="4">
        <v>3396</v>
      </c>
      <c r="D31" s="7">
        <v>25302</v>
      </c>
      <c r="E31" s="4">
        <f t="shared" si="0"/>
        <v>28698</v>
      </c>
      <c r="F31" s="13"/>
      <c r="J31" s="13">
        <f>J24+J28</f>
        <v>1640</v>
      </c>
      <c r="N31" s="312"/>
      <c r="O31" s="26"/>
      <c r="P31" s="26"/>
      <c r="Q31" s="26"/>
      <c r="R31" s="27"/>
      <c r="W31" s="23">
        <v>7.38</v>
      </c>
    </row>
    <row r="32" spans="1:23" ht="15">
      <c r="A32" s="21">
        <v>42638</v>
      </c>
      <c r="C32" s="4">
        <v>3389</v>
      </c>
      <c r="D32" s="7">
        <v>25305</v>
      </c>
      <c r="E32" s="4">
        <f t="shared" si="0"/>
        <v>28694</v>
      </c>
      <c r="F32" s="13"/>
      <c r="N32" s="27"/>
      <c r="O32" s="26"/>
      <c r="P32" s="26"/>
      <c r="Q32" s="26"/>
      <c r="R32" s="27"/>
      <c r="W32" s="23"/>
    </row>
    <row r="33" spans="1:23" ht="15">
      <c r="A33" s="21">
        <v>42664</v>
      </c>
      <c r="C33" s="4">
        <v>3200</v>
      </c>
      <c r="D33" s="7">
        <v>24151</v>
      </c>
      <c r="E33" s="4">
        <f t="shared" si="0"/>
        <v>27351</v>
      </c>
      <c r="F33" s="13"/>
      <c r="J33" s="338" t="s">
        <v>121</v>
      </c>
      <c r="K33" s="339">
        <v>2017</v>
      </c>
      <c r="N33" s="27"/>
      <c r="O33" s="26"/>
      <c r="P33" s="26"/>
      <c r="Q33" s="26"/>
      <c r="R33" s="27"/>
      <c r="W33" s="23"/>
    </row>
    <row r="34" spans="1:23" ht="15">
      <c r="A34" s="21">
        <v>42748</v>
      </c>
      <c r="C34" s="4">
        <v>3731</v>
      </c>
      <c r="D34" s="7">
        <v>24412</v>
      </c>
      <c r="E34" s="4">
        <f t="shared" si="0"/>
        <v>28143</v>
      </c>
      <c r="F34" s="13"/>
      <c r="J34" s="27">
        <v>938</v>
      </c>
      <c r="K34" s="26" t="s">
        <v>97</v>
      </c>
      <c r="N34" s="27"/>
      <c r="O34" s="26"/>
      <c r="P34" s="26"/>
      <c r="Q34" s="26"/>
      <c r="R34" s="27"/>
      <c r="W34" s="23"/>
    </row>
    <row r="35" spans="1:23" ht="15">
      <c r="A35" s="21">
        <v>42763</v>
      </c>
      <c r="C35" s="4">
        <v>3754</v>
      </c>
      <c r="D35" s="7">
        <v>24504</v>
      </c>
      <c r="E35" s="4">
        <f t="shared" si="0"/>
        <v>28258</v>
      </c>
      <c r="F35" s="13"/>
      <c r="J35" s="27">
        <v>152</v>
      </c>
      <c r="K35" s="26" t="s">
        <v>44</v>
      </c>
      <c r="N35" s="27"/>
      <c r="O35" s="26"/>
      <c r="P35" s="26"/>
      <c r="Q35" s="26"/>
      <c r="R35" s="27"/>
      <c r="W35" s="23"/>
    </row>
    <row r="36" spans="1:23" ht="15">
      <c r="A36" s="21">
        <v>42877</v>
      </c>
      <c r="C36" s="4">
        <v>4156</v>
      </c>
      <c r="D36" s="7">
        <v>25562</v>
      </c>
      <c r="E36" s="4">
        <f t="shared" si="0"/>
        <v>29718</v>
      </c>
      <c r="F36" s="13"/>
      <c r="G36" s="13"/>
      <c r="J36" s="23">
        <f>SUM(J34:J35)</f>
        <v>1090</v>
      </c>
      <c r="N36" s="27"/>
      <c r="O36" s="26"/>
      <c r="P36" s="26"/>
      <c r="Q36" s="26"/>
      <c r="R36" s="27"/>
      <c r="W36" s="23"/>
    </row>
    <row r="37" spans="1:23" ht="15">
      <c r="A37" s="9">
        <v>42923</v>
      </c>
      <c r="C37" s="4">
        <v>4246</v>
      </c>
      <c r="D37" s="7">
        <v>25636</v>
      </c>
      <c r="E37" s="4">
        <f t="shared" si="0"/>
        <v>29882</v>
      </c>
      <c r="F37" s="13"/>
      <c r="N37" s="27"/>
      <c r="O37" s="26"/>
      <c r="P37" s="26"/>
      <c r="Q37" s="26"/>
      <c r="R37" s="27"/>
      <c r="W37" s="23"/>
    </row>
    <row r="38" spans="1:23" ht="15">
      <c r="A38" s="9">
        <v>42944</v>
      </c>
      <c r="C38" s="4">
        <v>4288</v>
      </c>
      <c r="D38" s="7">
        <v>26055</v>
      </c>
      <c r="E38" s="4">
        <f t="shared" si="0"/>
        <v>30343</v>
      </c>
      <c r="F38" s="13"/>
      <c r="G38" s="13"/>
      <c r="N38" s="27"/>
      <c r="O38" s="26"/>
      <c r="P38" s="26"/>
      <c r="Q38" s="26"/>
      <c r="R38" s="27"/>
      <c r="W38" s="23"/>
    </row>
    <row r="39" spans="1:23" ht="15">
      <c r="A39" s="9">
        <v>42979</v>
      </c>
      <c r="C39" s="4">
        <v>4274</v>
      </c>
      <c r="D39" s="7">
        <v>26210</v>
      </c>
      <c r="E39" s="4">
        <f t="shared" si="0"/>
        <v>30484</v>
      </c>
      <c r="F39" s="13"/>
      <c r="N39" s="27"/>
      <c r="O39" s="26"/>
      <c r="P39" s="26"/>
      <c r="Q39" s="26"/>
      <c r="R39" s="27"/>
      <c r="W39" s="23"/>
    </row>
    <row r="40" spans="1:23" ht="15">
      <c r="A40" s="473">
        <v>42992</v>
      </c>
      <c r="B40" s="282"/>
      <c r="C40" s="331">
        <v>4304</v>
      </c>
      <c r="D40" s="7">
        <v>26357</v>
      </c>
      <c r="E40" s="4">
        <f t="shared" si="0"/>
        <v>30661</v>
      </c>
      <c r="G40" s="13"/>
      <c r="H40" s="13"/>
      <c r="K40" s="13"/>
      <c r="N40" s="27"/>
      <c r="O40" s="27"/>
      <c r="P40" s="26"/>
      <c r="Q40" s="26"/>
      <c r="R40" s="26"/>
      <c r="W40" s="23">
        <v>16.45</v>
      </c>
    </row>
    <row r="41" spans="1:23" ht="15">
      <c r="A41" s="9">
        <v>43004</v>
      </c>
      <c r="B41" s="5"/>
      <c r="C41" s="4">
        <v>4342</v>
      </c>
      <c r="D41" s="7">
        <v>26272</v>
      </c>
      <c r="E41" s="7">
        <f t="shared" si="0"/>
        <v>30614</v>
      </c>
      <c r="G41" s="13"/>
      <c r="N41" s="27"/>
      <c r="O41" s="27">
        <f>O21-O25</f>
        <v>3800</v>
      </c>
      <c r="P41" s="26"/>
      <c r="Q41" s="26"/>
      <c r="R41" s="28">
        <f>R21-R27</f>
        <v>4123</v>
      </c>
      <c r="S41" s="13">
        <f>SUM(O41:R41)</f>
        <v>7923</v>
      </c>
      <c r="W41" s="23">
        <v>9.91</v>
      </c>
    </row>
    <row r="42" spans="1:23" ht="15">
      <c r="A42" s="474"/>
      <c r="C42" s="4">
        <v>4387</v>
      </c>
      <c r="D42" s="4">
        <v>25381</v>
      </c>
      <c r="E42" s="4">
        <f t="shared" si="0"/>
        <v>29768</v>
      </c>
      <c r="F42" s="22"/>
      <c r="G42" s="23"/>
      <c r="W42" s="23">
        <v>7.43</v>
      </c>
    </row>
    <row r="43" spans="1:23" ht="15">
      <c r="A43" s="9">
        <v>43026</v>
      </c>
      <c r="C43" s="4">
        <v>4262</v>
      </c>
      <c r="D43" s="4">
        <v>25532</v>
      </c>
      <c r="E43" s="4">
        <f t="shared" si="0"/>
        <v>29794</v>
      </c>
      <c r="G43" s="23"/>
      <c r="O43" s="23">
        <v>3800</v>
      </c>
      <c r="P43" s="23"/>
      <c r="Q43" s="23"/>
      <c r="R43" s="23">
        <v>4190</v>
      </c>
      <c r="S43" s="13">
        <f>SUM(O43:R43)</f>
        <v>7990</v>
      </c>
      <c r="W43" s="23">
        <v>31</v>
      </c>
    </row>
    <row r="44" spans="1:23" ht="15">
      <c r="A44" s="9">
        <v>43106</v>
      </c>
      <c r="C44" s="7"/>
      <c r="D44" s="4">
        <v>25731</v>
      </c>
      <c r="E44" s="4">
        <f t="shared" si="0"/>
        <v>25731</v>
      </c>
      <c r="G44" s="23"/>
      <c r="S44" s="13">
        <f>8000-S41</f>
        <v>77</v>
      </c>
      <c r="W44" s="23">
        <v>29.24</v>
      </c>
    </row>
    <row r="45" spans="1:23" ht="15">
      <c r="A45" s="475"/>
      <c r="C45" s="7">
        <v>4459</v>
      </c>
      <c r="D45" s="4">
        <v>26230</v>
      </c>
      <c r="E45" s="4">
        <f t="shared" si="0"/>
        <v>30689</v>
      </c>
      <c r="I45" s="13"/>
      <c r="W45" s="23">
        <v>11.36</v>
      </c>
    </row>
    <row r="46" spans="1:24" ht="15">
      <c r="A46" s="9">
        <v>43116</v>
      </c>
      <c r="C46" s="7">
        <v>4514</v>
      </c>
      <c r="D46" s="4">
        <v>26443</v>
      </c>
      <c r="E46" s="4">
        <f t="shared" si="0"/>
        <v>30957</v>
      </c>
      <c r="N46" s="23"/>
      <c r="O46" s="469"/>
      <c r="W46" s="23">
        <v>60</v>
      </c>
      <c r="X46" t="s">
        <v>127</v>
      </c>
    </row>
    <row r="47" spans="1:24" ht="15">
      <c r="A47" s="9">
        <v>43128</v>
      </c>
      <c r="C47" s="7">
        <v>4585</v>
      </c>
      <c r="D47" s="4">
        <v>26916</v>
      </c>
      <c r="E47" s="4">
        <f t="shared" si="0"/>
        <v>31501</v>
      </c>
      <c r="W47" s="23">
        <v>10.79</v>
      </c>
      <c r="X47" t="s">
        <v>47</v>
      </c>
    </row>
    <row r="48" spans="1:23" ht="15">
      <c r="A48" s="9">
        <v>43130</v>
      </c>
      <c r="D48" s="4">
        <v>26756</v>
      </c>
      <c r="E48" s="5"/>
      <c r="W48" s="23">
        <f>SUM(W14:W47)</f>
        <v>783.4899999999999</v>
      </c>
    </row>
    <row r="49" spans="1:9" ht="15">
      <c r="A49" s="9">
        <v>43146</v>
      </c>
      <c r="C49" s="7">
        <v>4367</v>
      </c>
      <c r="D49" s="4">
        <v>25847</v>
      </c>
      <c r="E49" s="7">
        <f aca="true" t="shared" si="1" ref="E49:E61">SUM(C49:D49)</f>
        <v>30214</v>
      </c>
      <c r="H49" s="476">
        <v>43182</v>
      </c>
      <c r="I49" s="13"/>
    </row>
    <row r="50" spans="1:9" ht="15">
      <c r="A50" s="9">
        <v>43165</v>
      </c>
      <c r="C50" s="7">
        <v>4382</v>
      </c>
      <c r="D50" s="4">
        <v>25765</v>
      </c>
      <c r="E50" s="7">
        <f t="shared" si="1"/>
        <v>30147</v>
      </c>
      <c r="G50" s="13"/>
      <c r="H50" s="477" t="s">
        <v>266</v>
      </c>
      <c r="I50" s="13" t="s">
        <v>340</v>
      </c>
    </row>
    <row r="51" spans="1:9" ht="15">
      <c r="A51" s="9">
        <v>43540</v>
      </c>
      <c r="C51" s="7">
        <v>4427</v>
      </c>
      <c r="D51" s="4">
        <v>25891</v>
      </c>
      <c r="E51" s="7">
        <f t="shared" si="1"/>
        <v>30318</v>
      </c>
      <c r="H51" s="478">
        <v>4000</v>
      </c>
      <c r="I51" s="23"/>
    </row>
    <row r="52" spans="1:8" ht="15">
      <c r="A52" s="9">
        <v>43183</v>
      </c>
      <c r="C52" s="7">
        <v>4255</v>
      </c>
      <c r="D52" s="4">
        <v>25227</v>
      </c>
      <c r="E52" s="7">
        <f t="shared" si="1"/>
        <v>29482</v>
      </c>
      <c r="H52" s="13"/>
    </row>
    <row r="53" spans="1:12" ht="15">
      <c r="A53" s="9">
        <v>43193</v>
      </c>
      <c r="C53" s="7">
        <v>4265</v>
      </c>
      <c r="D53" s="4">
        <v>25183</v>
      </c>
      <c r="E53" s="7">
        <f t="shared" si="1"/>
        <v>29448</v>
      </c>
      <c r="J53" s="13"/>
      <c r="L53" s="469">
        <v>43282</v>
      </c>
    </row>
    <row r="54" spans="1:13" ht="15">
      <c r="A54" s="9">
        <v>43201</v>
      </c>
      <c r="C54" s="7">
        <v>4359</v>
      </c>
      <c r="D54" s="4">
        <v>21564</v>
      </c>
      <c r="E54" s="7">
        <f t="shared" si="1"/>
        <v>25923</v>
      </c>
      <c r="F54" s="13"/>
      <c r="J54" s="13"/>
      <c r="K54" s="219" t="s">
        <v>34</v>
      </c>
      <c r="L54" s="219">
        <v>5000</v>
      </c>
      <c r="M54" s="219" t="s">
        <v>339</v>
      </c>
    </row>
    <row r="55" spans="1:13" ht="15">
      <c r="A55" s="9">
        <v>43211</v>
      </c>
      <c r="C55" s="7">
        <v>4380</v>
      </c>
      <c r="D55" s="4">
        <v>21540</v>
      </c>
      <c r="E55" s="4">
        <f t="shared" si="1"/>
        <v>25920</v>
      </c>
      <c r="G55" s="13"/>
      <c r="K55" s="501">
        <f>D58-5000</f>
        <v>16473</v>
      </c>
      <c r="L55" s="502">
        <v>4473</v>
      </c>
      <c r="M55" s="501">
        <f>SUM(K55:L55)</f>
        <v>20946</v>
      </c>
    </row>
    <row r="56" spans="1:13" ht="15">
      <c r="A56" s="9">
        <v>43219</v>
      </c>
      <c r="C56" s="7">
        <v>4382</v>
      </c>
      <c r="D56" s="4">
        <v>21417</v>
      </c>
      <c r="E56" s="4">
        <f t="shared" si="1"/>
        <v>25799</v>
      </c>
      <c r="H56" s="13"/>
      <c r="I56" s="13"/>
      <c r="M56" s="13"/>
    </row>
    <row r="57" spans="1:16" ht="15">
      <c r="A57" s="9">
        <v>43262</v>
      </c>
      <c r="C57" s="7">
        <v>4486</v>
      </c>
      <c r="D57" s="4">
        <v>21523</v>
      </c>
      <c r="E57" s="4">
        <f t="shared" si="1"/>
        <v>26009</v>
      </c>
      <c r="H57" s="13"/>
      <c r="I57" s="13"/>
      <c r="P57" s="23">
        <v>30500</v>
      </c>
    </row>
    <row r="58" spans="1:13" ht="15.75">
      <c r="A58" s="9">
        <v>43269</v>
      </c>
      <c r="C58" s="7">
        <v>4473</v>
      </c>
      <c r="D58" s="4">
        <v>21473</v>
      </c>
      <c r="E58" s="531">
        <f t="shared" si="1"/>
        <v>25946</v>
      </c>
      <c r="H58" s="13"/>
      <c r="I58" s="13"/>
      <c r="M58" s="13">
        <f>M56*0.2</f>
        <v>0</v>
      </c>
    </row>
    <row r="59" spans="1:13" ht="15.75">
      <c r="A59" s="9">
        <v>43278</v>
      </c>
      <c r="C59" s="7">
        <v>4432</v>
      </c>
      <c r="D59" s="4">
        <v>21201</v>
      </c>
      <c r="E59" s="531">
        <f t="shared" si="1"/>
        <v>25633</v>
      </c>
      <c r="H59" s="13">
        <f>E58-E59</f>
        <v>313</v>
      </c>
      <c r="M59" s="13">
        <f>M56-M58</f>
        <v>0</v>
      </c>
    </row>
    <row r="60" spans="1:17" ht="15.75">
      <c r="A60" s="9">
        <v>43290</v>
      </c>
      <c r="C60" s="7">
        <v>4472</v>
      </c>
      <c r="D60" s="4">
        <v>21239</v>
      </c>
      <c r="E60" s="531">
        <f t="shared" si="1"/>
        <v>25711</v>
      </c>
      <c r="F60" s="13">
        <f>D60-5000</f>
        <v>16239</v>
      </c>
      <c r="G60" s="13">
        <f>F60+C59</f>
        <v>20671</v>
      </c>
      <c r="P60" s="29" t="s">
        <v>387</v>
      </c>
      <c r="Q60" s="29"/>
    </row>
    <row r="61" spans="1:17" ht="15.75">
      <c r="A61" s="9">
        <v>43353</v>
      </c>
      <c r="C61" s="7">
        <v>4571</v>
      </c>
      <c r="D61" s="4">
        <v>16249</v>
      </c>
      <c r="E61" s="531">
        <f t="shared" si="1"/>
        <v>20820</v>
      </c>
      <c r="K61" s="512" t="s">
        <v>344</v>
      </c>
      <c r="L61" s="508"/>
      <c r="M61" s="508"/>
      <c r="N61" s="508"/>
      <c r="O61" s="508"/>
      <c r="P61" s="529">
        <v>5000</v>
      </c>
      <c r="Q61" s="530">
        <v>43298</v>
      </c>
    </row>
    <row r="62" spans="1:15" ht="15">
      <c r="A62" s="5"/>
      <c r="E62" s="279"/>
      <c r="K62" s="509">
        <v>24998</v>
      </c>
      <c r="L62" s="509"/>
      <c r="M62" s="509">
        <v>20106</v>
      </c>
      <c r="N62" s="508"/>
      <c r="O62" s="508"/>
    </row>
    <row r="63" spans="5:15" ht="12.75">
      <c r="E63" s="279"/>
      <c r="K63" s="509">
        <v>4106</v>
      </c>
      <c r="L63" s="509"/>
      <c r="M63" s="509">
        <v>13000</v>
      </c>
      <c r="N63" s="508"/>
      <c r="O63" s="508"/>
    </row>
    <row r="64" spans="5:15" ht="12.75">
      <c r="E64" s="279"/>
      <c r="K64" s="509">
        <v>1400</v>
      </c>
      <c r="L64" s="509"/>
      <c r="M64" s="509"/>
      <c r="N64" s="508"/>
      <c r="O64" s="508"/>
    </row>
    <row r="65" spans="5:15" ht="12.75">
      <c r="E65" s="279"/>
      <c r="K65" s="509">
        <v>299</v>
      </c>
      <c r="L65" s="509"/>
      <c r="M65" s="509"/>
      <c r="N65" s="508"/>
      <c r="O65" s="508"/>
    </row>
    <row r="66" spans="5:15" ht="12.75">
      <c r="E66" s="279"/>
      <c r="K66" s="510">
        <v>30514</v>
      </c>
      <c r="L66" s="509"/>
      <c r="M66" s="509">
        <f>M62-M63</f>
        <v>7106</v>
      </c>
      <c r="N66" s="513">
        <v>3000</v>
      </c>
      <c r="O66" s="511">
        <f>M66-N66</f>
        <v>4106</v>
      </c>
    </row>
    <row r="67" spans="5:13" ht="12.75">
      <c r="E67" s="279"/>
      <c r="K67" s="23"/>
      <c r="L67" s="23"/>
      <c r="M67" s="23"/>
    </row>
    <row r="68" spans="5:13" ht="12.75">
      <c r="E68" s="279"/>
      <c r="K68" s="23"/>
      <c r="L68" s="23"/>
      <c r="M68" s="23"/>
    </row>
    <row r="69" spans="11:13" ht="12.75">
      <c r="K69" s="23"/>
      <c r="L69" s="23"/>
      <c r="M69" s="23"/>
    </row>
    <row r="70" spans="11:13" ht="12.75">
      <c r="K70" s="23"/>
      <c r="L70" s="23"/>
      <c r="M70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9.7109375" style="0" bestFit="1" customWidth="1"/>
    <col min="2" max="3" width="9.28125" style="0" bestFit="1" customWidth="1"/>
    <col min="4" max="4" width="9.7109375" style="0" bestFit="1" customWidth="1"/>
    <col min="7" max="7" width="9.7109375" style="0" bestFit="1" customWidth="1"/>
    <col min="9" max="9" width="9.7109375" style="0" bestFit="1" customWidth="1"/>
    <col min="10" max="10" width="11.57421875" style="0" bestFit="1" customWidth="1"/>
  </cols>
  <sheetData>
    <row r="2" spans="1:10" ht="15.75">
      <c r="A2" s="1"/>
      <c r="B2" s="1"/>
      <c r="C2" s="1"/>
      <c r="D2" s="1"/>
      <c r="E2" s="1"/>
      <c r="G2" s="1" t="s">
        <v>170</v>
      </c>
      <c r="H2" s="1"/>
      <c r="I2" s="1"/>
      <c r="J2" s="1" t="s">
        <v>171</v>
      </c>
    </row>
    <row r="3" spans="1:10" ht="15.75">
      <c r="A3" s="2"/>
      <c r="B3" s="2"/>
      <c r="C3" s="3"/>
      <c r="D3" s="2"/>
      <c r="E3" s="2"/>
      <c r="G3" s="4">
        <v>100</v>
      </c>
      <c r="H3" s="5"/>
      <c r="I3" s="5"/>
      <c r="J3" s="4">
        <v>800</v>
      </c>
    </row>
    <row r="4" spans="1:10" ht="15.75">
      <c r="A4" s="2"/>
      <c r="B4" s="2"/>
      <c r="C4" s="2"/>
      <c r="D4" s="2"/>
      <c r="E4" s="2"/>
      <c r="G4" s="4">
        <v>200</v>
      </c>
      <c r="H4" s="5"/>
      <c r="I4" s="5"/>
      <c r="J4" s="4">
        <v>600</v>
      </c>
    </row>
    <row r="5" spans="1:10" ht="15.75">
      <c r="A5" s="2"/>
      <c r="B5" s="2"/>
      <c r="C5" s="2"/>
      <c r="D5" s="2"/>
      <c r="E5" s="2"/>
      <c r="G5" s="4">
        <v>220</v>
      </c>
      <c r="H5" s="5"/>
      <c r="I5" s="5"/>
      <c r="J5" s="2">
        <f>SUM(J3:J4)</f>
        <v>1400</v>
      </c>
    </row>
    <row r="6" spans="1:10" ht="15.75">
      <c r="A6" s="2"/>
      <c r="B6" s="2"/>
      <c r="C6" s="2"/>
      <c r="D6" s="2"/>
      <c r="E6" s="2"/>
      <c r="G6" s="4">
        <v>100</v>
      </c>
      <c r="H6" s="5"/>
      <c r="I6" s="5"/>
      <c r="J6" s="5"/>
    </row>
    <row r="7" spans="1:10" ht="15.75">
      <c r="A7" s="2"/>
      <c r="B7" s="2"/>
      <c r="C7" s="2"/>
      <c r="D7" s="2"/>
      <c r="E7" s="2"/>
      <c r="G7" s="4">
        <v>100</v>
      </c>
      <c r="H7" s="5"/>
      <c r="I7" s="5"/>
      <c r="J7" s="5"/>
    </row>
    <row r="8" spans="1:10" ht="15.75">
      <c r="A8" s="2"/>
      <c r="B8" s="2"/>
      <c r="C8" s="2"/>
      <c r="D8" s="2"/>
      <c r="E8" s="2"/>
      <c r="G8" s="4">
        <v>50</v>
      </c>
      <c r="H8" s="5"/>
      <c r="I8" s="5"/>
      <c r="J8" s="5"/>
    </row>
    <row r="9" spans="1:10" ht="15.75">
      <c r="A9" s="2"/>
      <c r="B9" s="2"/>
      <c r="C9" s="2"/>
      <c r="D9" s="2"/>
      <c r="E9" s="2"/>
      <c r="G9" s="4"/>
      <c r="H9" s="5"/>
      <c r="I9" s="5"/>
      <c r="J9" s="5"/>
    </row>
    <row r="10" spans="1:10" ht="15.75">
      <c r="A10" s="2"/>
      <c r="B10" s="2"/>
      <c r="C10" s="2"/>
      <c r="D10" s="2"/>
      <c r="E10" s="2"/>
      <c r="G10" s="4"/>
      <c r="H10" s="5"/>
      <c r="I10" s="5"/>
      <c r="J10" s="5"/>
    </row>
    <row r="11" spans="1:10" ht="15.75">
      <c r="A11" s="2"/>
      <c r="B11" s="2"/>
      <c r="C11" s="2"/>
      <c r="D11" s="2"/>
      <c r="E11" s="2"/>
      <c r="G11" s="4"/>
      <c r="H11" s="5"/>
      <c r="I11" s="5"/>
      <c r="J11" s="5"/>
    </row>
    <row r="12" spans="1:10" ht="15.75">
      <c r="A12" s="2"/>
      <c r="B12" s="2"/>
      <c r="C12" s="2"/>
      <c r="D12" s="2"/>
      <c r="E12" s="2"/>
      <c r="G12" s="2">
        <f>SUM(G3:G11)</f>
        <v>770</v>
      </c>
      <c r="H12" s="5"/>
      <c r="I12" s="5"/>
      <c r="J12" s="6">
        <f>SUM(J5)</f>
        <v>1400</v>
      </c>
    </row>
    <row r="13" spans="1:10" ht="15.75">
      <c r="A13" s="2"/>
      <c r="B13" s="2"/>
      <c r="C13" s="2"/>
      <c r="D13" s="2"/>
      <c r="E13" s="2"/>
      <c r="G13" s="5"/>
      <c r="H13" s="5"/>
      <c r="I13" s="5"/>
      <c r="J13" s="7"/>
    </row>
    <row r="14" spans="1:10" ht="15.75">
      <c r="A14" s="2"/>
      <c r="B14" s="2"/>
      <c r="C14" s="2"/>
      <c r="D14" s="2"/>
      <c r="E14" s="2"/>
      <c r="G14" s="5"/>
      <c r="H14" s="5" t="s">
        <v>131</v>
      </c>
      <c r="I14" s="7">
        <f>J12-G12</f>
        <v>630</v>
      </c>
      <c r="J14" s="5"/>
    </row>
    <row r="15" spans="1:10" ht="15.75">
      <c r="A15" s="2"/>
      <c r="B15" s="2"/>
      <c r="C15" s="2"/>
      <c r="D15" s="2"/>
      <c r="E15" s="2"/>
      <c r="G15" s="5"/>
      <c r="H15" s="5"/>
      <c r="I15" s="5"/>
      <c r="J15" s="5"/>
    </row>
    <row r="16" spans="1:5" ht="15.75">
      <c r="A16" s="2"/>
      <c r="B16" s="2"/>
      <c r="C16" s="2"/>
      <c r="D16" s="2"/>
      <c r="E16" s="2"/>
    </row>
    <row r="17" spans="1:5" ht="15.75">
      <c r="A17" s="2"/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  <row r="19" spans="1:5" ht="15.75">
      <c r="A19" s="1"/>
      <c r="B19" s="1"/>
      <c r="C19" s="1"/>
      <c r="D19" s="1"/>
      <c r="E19" s="1"/>
    </row>
    <row r="20" spans="1:5" ht="15.75">
      <c r="A20" s="1"/>
      <c r="B20" s="1"/>
      <c r="C20" s="1"/>
      <c r="D20" s="1"/>
      <c r="E20" s="1"/>
    </row>
    <row r="21" spans="1:5" ht="15.75">
      <c r="A21" s="1"/>
      <c r="B21" s="1"/>
      <c r="C21" s="1"/>
      <c r="D21" s="1"/>
      <c r="E21" s="1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7">
      <selection activeCell="G6" sqref="G6"/>
    </sheetView>
  </sheetViews>
  <sheetFormatPr defaultColWidth="9.140625" defaultRowHeight="12.75"/>
  <cols>
    <col min="1" max="1" width="14.57421875" style="0" bestFit="1" customWidth="1"/>
    <col min="2" max="2" width="10.421875" style="0" bestFit="1" customWidth="1"/>
    <col min="3" max="3" width="11.28125" style="0" bestFit="1" customWidth="1"/>
    <col min="5" max="5" width="21.8515625" style="0" customWidth="1"/>
    <col min="6" max="6" width="12.421875" style="0" customWidth="1"/>
    <col min="7" max="7" width="14.00390625" style="0" customWidth="1"/>
    <col min="8" max="8" width="12.8515625" style="0" bestFit="1" customWidth="1"/>
    <col min="9" max="9" width="9.57421875" style="0" bestFit="1" customWidth="1"/>
    <col min="10" max="10" width="11.57421875" style="0" bestFit="1" customWidth="1"/>
    <col min="11" max="11" width="10.8515625" style="0" bestFit="1" customWidth="1"/>
    <col min="13" max="13" width="11.28125" style="0" bestFit="1" customWidth="1"/>
    <col min="14" max="14" width="10.28125" style="0" bestFit="1" customWidth="1"/>
    <col min="15" max="15" width="13.421875" style="0" bestFit="1" customWidth="1"/>
    <col min="17" max="17" width="9.28125" style="0" bestFit="1" customWidth="1"/>
  </cols>
  <sheetData>
    <row r="1" spans="1:7" ht="15">
      <c r="A1" s="12">
        <v>42767</v>
      </c>
      <c r="B1" s="5"/>
      <c r="C1" s="5"/>
      <c r="D1" s="5"/>
      <c r="E1" s="5"/>
      <c r="G1" s="5"/>
    </row>
    <row r="2" spans="1:16" ht="15">
      <c r="A2" s="5" t="s">
        <v>0</v>
      </c>
      <c r="B2" s="5"/>
      <c r="C2" s="5"/>
      <c r="D2" s="5"/>
      <c r="E2" s="5"/>
      <c r="F2" s="43"/>
      <c r="G2" s="4">
        <f>A16</f>
        <v>8192</v>
      </c>
      <c r="P2">
        <v>2607</v>
      </c>
    </row>
    <row r="3" spans="5:16" ht="15">
      <c r="E3" s="5"/>
      <c r="G3" s="23"/>
      <c r="N3" s="209"/>
      <c r="O3" s="316"/>
      <c r="P3">
        <v>70</v>
      </c>
    </row>
    <row r="4" spans="1:16" ht="15">
      <c r="A4" s="231">
        <v>773</v>
      </c>
      <c r="B4" t="s">
        <v>2</v>
      </c>
      <c r="D4" s="33"/>
      <c r="E4" s="172" t="s">
        <v>3</v>
      </c>
      <c r="F4" s="206"/>
      <c r="G4" s="4"/>
      <c r="N4" s="125"/>
      <c r="O4" s="126"/>
      <c r="P4">
        <f>SUM(P2:P3)</f>
        <v>2677</v>
      </c>
    </row>
    <row r="5" spans="1:17" ht="15.75">
      <c r="A5" s="23"/>
      <c r="D5" s="33"/>
      <c r="E5" s="174"/>
      <c r="F5" s="196"/>
      <c r="G5" s="4">
        <f>G2-F5</f>
        <v>8192</v>
      </c>
      <c r="N5" s="125"/>
      <c r="O5" s="126"/>
      <c r="Q5">
        <v>2607</v>
      </c>
    </row>
    <row r="6" spans="1:17" ht="15.75">
      <c r="A6" s="176">
        <v>296</v>
      </c>
      <c r="B6" t="s">
        <v>4</v>
      </c>
      <c r="D6" s="232">
        <v>43132</v>
      </c>
      <c r="E6" s="174" t="s">
        <v>5</v>
      </c>
      <c r="F6" s="175">
        <v>1174</v>
      </c>
      <c r="G6" s="4">
        <f>G5-F6</f>
        <v>7018</v>
      </c>
      <c r="H6" s="33" t="s">
        <v>6</v>
      </c>
      <c r="I6" s="193"/>
      <c r="J6" s="175"/>
      <c r="K6" s="182"/>
      <c r="N6" s="125"/>
      <c r="O6" s="126"/>
      <c r="Q6">
        <f>Q5-1400</f>
        <v>1207</v>
      </c>
    </row>
    <row r="7" spans="1:15" ht="15.75">
      <c r="A7" s="104">
        <v>1375</v>
      </c>
      <c r="B7" s="5" t="s">
        <v>9</v>
      </c>
      <c r="C7" s="5"/>
      <c r="D7" s="232">
        <v>43140</v>
      </c>
      <c r="E7" s="174" t="s">
        <v>10</v>
      </c>
      <c r="F7" s="177">
        <v>225</v>
      </c>
      <c r="G7" s="4">
        <f aca="true" t="shared" si="0" ref="G7:G22">G6-F7</f>
        <v>6793</v>
      </c>
      <c r="H7" s="33" t="s">
        <v>232</v>
      </c>
      <c r="I7" s="193"/>
      <c r="J7" s="177"/>
      <c r="K7" s="182"/>
      <c r="N7" s="153"/>
      <c r="O7" s="126"/>
    </row>
    <row r="8" spans="1:15" ht="15.75">
      <c r="A8" s="106">
        <v>296</v>
      </c>
      <c r="B8" s="5" t="s">
        <v>11</v>
      </c>
      <c r="C8" s="5"/>
      <c r="D8" s="232"/>
      <c r="E8" s="174" t="s">
        <v>12</v>
      </c>
      <c r="F8" s="178">
        <v>130</v>
      </c>
      <c r="G8" s="4">
        <f t="shared" si="0"/>
        <v>6663</v>
      </c>
      <c r="H8" t="s">
        <v>6</v>
      </c>
      <c r="I8" s="193"/>
      <c r="J8" s="178">
        <v>130</v>
      </c>
      <c r="K8" s="182"/>
      <c r="N8" s="126"/>
      <c r="O8" s="153"/>
    </row>
    <row r="9" spans="1:11" ht="15.75">
      <c r="A9" s="106">
        <v>598</v>
      </c>
      <c r="B9" s="5" t="s">
        <v>13</v>
      </c>
      <c r="C9" s="128" t="s">
        <v>42</v>
      </c>
      <c r="D9" s="22">
        <v>43138</v>
      </c>
      <c r="E9" s="174" t="s">
        <v>15</v>
      </c>
      <c r="F9" s="177">
        <v>219</v>
      </c>
      <c r="G9" s="4">
        <f t="shared" si="0"/>
        <v>6444</v>
      </c>
      <c r="H9" t="s">
        <v>216</v>
      </c>
      <c r="I9" s="193"/>
      <c r="J9" s="177"/>
      <c r="K9" s="182"/>
    </row>
    <row r="10" spans="1:11" ht="15.75">
      <c r="A10" s="106">
        <v>2246</v>
      </c>
      <c r="B10" s="5" t="s">
        <v>16</v>
      </c>
      <c r="C10" s="5"/>
      <c r="D10" s="22">
        <v>43136</v>
      </c>
      <c r="E10" s="174" t="s">
        <v>17</v>
      </c>
      <c r="F10" s="178">
        <v>143</v>
      </c>
      <c r="G10" s="4">
        <f t="shared" si="0"/>
        <v>6301</v>
      </c>
      <c r="H10" s="33" t="s">
        <v>231</v>
      </c>
      <c r="I10" s="193"/>
      <c r="J10" s="178"/>
      <c r="K10" s="182"/>
    </row>
    <row r="11" spans="1:16" ht="15.75">
      <c r="A11" s="104">
        <v>1008</v>
      </c>
      <c r="B11" s="5" t="s">
        <v>43</v>
      </c>
      <c r="C11" s="287"/>
      <c r="D11" s="22">
        <v>43141</v>
      </c>
      <c r="E11" s="174" t="s">
        <v>19</v>
      </c>
      <c r="F11" s="178">
        <v>200</v>
      </c>
      <c r="G11" s="4">
        <f t="shared" si="0"/>
        <v>6101</v>
      </c>
      <c r="H11" s="33" t="s">
        <v>237</v>
      </c>
      <c r="I11" s="193"/>
      <c r="J11" s="178"/>
      <c r="K11" s="182"/>
      <c r="L11" s="126"/>
      <c r="P11" s="23"/>
    </row>
    <row r="12" spans="1:12" ht="15.75">
      <c r="A12" s="459">
        <v>1200</v>
      </c>
      <c r="B12" s="5" t="s">
        <v>247</v>
      </c>
      <c r="C12" s="5"/>
      <c r="D12" s="22"/>
      <c r="E12" s="174" t="s">
        <v>21</v>
      </c>
      <c r="F12" s="177"/>
      <c r="G12" s="4">
        <f t="shared" si="0"/>
        <v>6101</v>
      </c>
      <c r="H12" s="33"/>
      <c r="I12" s="193"/>
      <c r="J12" s="177"/>
      <c r="K12" s="182"/>
      <c r="L12" s="126"/>
    </row>
    <row r="13" spans="1:12" ht="15.75">
      <c r="A13" s="235">
        <v>400</v>
      </c>
      <c r="B13" s="181" t="s">
        <v>65</v>
      </c>
      <c r="C13" s="44"/>
      <c r="D13" s="22">
        <v>43154</v>
      </c>
      <c r="E13" s="174" t="s">
        <v>24</v>
      </c>
      <c r="F13" s="177">
        <v>50</v>
      </c>
      <c r="G13" s="4">
        <f t="shared" si="0"/>
        <v>6051</v>
      </c>
      <c r="H13" s="33" t="s">
        <v>233</v>
      </c>
      <c r="I13" s="193"/>
      <c r="J13" s="177">
        <v>50</v>
      </c>
      <c r="K13" s="217"/>
      <c r="L13" s="126"/>
    </row>
    <row r="14" spans="1:16" ht="15.75">
      <c r="A14" s="176"/>
      <c r="B14" s="183"/>
      <c r="C14" s="50"/>
      <c r="D14" s="22">
        <v>43136</v>
      </c>
      <c r="E14" s="174" t="s">
        <v>28</v>
      </c>
      <c r="F14" s="175">
        <v>79</v>
      </c>
      <c r="G14" s="4">
        <f t="shared" si="0"/>
        <v>5972</v>
      </c>
      <c r="H14" t="s">
        <v>6</v>
      </c>
      <c r="I14" s="193"/>
      <c r="J14" s="175"/>
      <c r="K14" s="217"/>
      <c r="L14" s="126"/>
      <c r="M14" s="243">
        <v>533</v>
      </c>
      <c r="N14" s="209" t="s">
        <v>235</v>
      </c>
      <c r="O14" s="209"/>
      <c r="P14" s="243"/>
    </row>
    <row r="15" spans="1:16" ht="15.75">
      <c r="A15" s="106"/>
      <c r="B15" s="50"/>
      <c r="C15" s="50"/>
      <c r="D15" s="22">
        <v>43146</v>
      </c>
      <c r="E15" s="174" t="s">
        <v>30</v>
      </c>
      <c r="F15" s="178">
        <v>2000</v>
      </c>
      <c r="G15" s="4">
        <f t="shared" si="0"/>
        <v>3972</v>
      </c>
      <c r="H15" s="33" t="s">
        <v>230</v>
      </c>
      <c r="I15" s="193" t="s">
        <v>217</v>
      </c>
      <c r="J15" s="178"/>
      <c r="K15" s="217"/>
      <c r="L15" s="126"/>
      <c r="M15" s="243">
        <v>45</v>
      </c>
      <c r="N15" s="209" t="s">
        <v>236</v>
      </c>
      <c r="O15" s="209"/>
      <c r="P15" s="243"/>
    </row>
    <row r="16" spans="1:16" ht="15.75">
      <c r="A16" s="72">
        <f>SUM(A4:A15)</f>
        <v>8192</v>
      </c>
      <c r="D16" s="22">
        <v>43153</v>
      </c>
      <c r="E16" s="186" t="s">
        <v>32</v>
      </c>
      <c r="F16" s="178">
        <v>500</v>
      </c>
      <c r="G16" s="4">
        <f t="shared" si="0"/>
        <v>3472</v>
      </c>
      <c r="H16" s="33" t="s">
        <v>238</v>
      </c>
      <c r="I16" s="154"/>
      <c r="J16" s="178">
        <v>500</v>
      </c>
      <c r="K16" s="217"/>
      <c r="L16" s="126"/>
      <c r="M16" s="243">
        <f>SUM(M14:M15)</f>
        <v>578</v>
      </c>
      <c r="N16" s="209"/>
      <c r="O16" s="209"/>
      <c r="P16" s="243"/>
    </row>
    <row r="17" spans="1:16" ht="15.75">
      <c r="A17" s="23"/>
      <c r="D17" s="22">
        <v>43138</v>
      </c>
      <c r="E17" s="174" t="s">
        <v>33</v>
      </c>
      <c r="F17" s="187">
        <v>500</v>
      </c>
      <c r="G17" s="4">
        <f t="shared" si="0"/>
        <v>2972</v>
      </c>
      <c r="H17" s="128" t="s">
        <v>216</v>
      </c>
      <c r="J17" s="187"/>
      <c r="K17" s="317"/>
      <c r="L17" s="126"/>
      <c r="M17" s="209"/>
      <c r="N17" s="243"/>
      <c r="O17" s="209"/>
      <c r="P17" s="209"/>
    </row>
    <row r="18" spans="1:12" ht="15.75">
      <c r="A18" s="23"/>
      <c r="D18" s="22"/>
      <c r="E18" s="174" t="s">
        <v>34</v>
      </c>
      <c r="F18" s="188">
        <v>425</v>
      </c>
      <c r="G18" s="4">
        <f t="shared" si="0"/>
        <v>2547</v>
      </c>
      <c r="H18" t="s">
        <v>192</v>
      </c>
      <c r="I18" s="193"/>
      <c r="J18" s="188">
        <v>425</v>
      </c>
      <c r="K18" s="217"/>
      <c r="L18" s="126"/>
    </row>
    <row r="19" spans="4:13" ht="15.75">
      <c r="D19" s="22">
        <v>43136</v>
      </c>
      <c r="E19" s="189" t="s">
        <v>35</v>
      </c>
      <c r="F19" s="175">
        <v>189</v>
      </c>
      <c r="G19" s="4">
        <f t="shared" si="0"/>
        <v>2358</v>
      </c>
      <c r="H19" t="s">
        <v>6</v>
      </c>
      <c r="I19" s="193"/>
      <c r="J19" s="175"/>
      <c r="K19" s="126"/>
      <c r="L19" s="126"/>
      <c r="M19" s="302"/>
    </row>
    <row r="20" spans="2:13" ht="15.75">
      <c r="B20" s="43"/>
      <c r="D20" s="22"/>
      <c r="E20" s="191" t="s">
        <v>37</v>
      </c>
      <c r="F20" s="175"/>
      <c r="G20" s="4">
        <f t="shared" si="0"/>
        <v>2358</v>
      </c>
      <c r="H20" s="33">
        <v>100</v>
      </c>
      <c r="I20" s="193"/>
      <c r="J20" s="175">
        <v>100</v>
      </c>
      <c r="K20" s="126"/>
      <c r="L20" s="126"/>
      <c r="M20" s="302"/>
    </row>
    <row r="21" spans="1:13" ht="15.75">
      <c r="A21" s="132"/>
      <c r="B21" s="270"/>
      <c r="C21" s="270"/>
      <c r="D21" s="270"/>
      <c r="E21" s="189" t="s">
        <v>38</v>
      </c>
      <c r="F21" s="175">
        <f>L43</f>
        <v>200.54000000000002</v>
      </c>
      <c r="G21" s="4">
        <f t="shared" si="0"/>
        <v>2157.46</v>
      </c>
      <c r="H21" s="33"/>
      <c r="I21" s="193"/>
      <c r="J21" s="175">
        <f>P43</f>
        <v>0</v>
      </c>
      <c r="K21" s="126"/>
      <c r="L21" s="126"/>
      <c r="M21" s="302"/>
    </row>
    <row r="22" spans="1:12" ht="15">
      <c r="A22" s="98"/>
      <c r="B22" s="43"/>
      <c r="D22" s="232">
        <v>43160</v>
      </c>
      <c r="E22" s="50" t="s">
        <v>244</v>
      </c>
      <c r="F22" s="177">
        <v>1500</v>
      </c>
      <c r="G22" s="4">
        <f t="shared" si="0"/>
        <v>657.46</v>
      </c>
      <c r="H22" s="33" t="s">
        <v>201</v>
      </c>
      <c r="I22" s="193"/>
      <c r="J22" s="123">
        <f>SUM(J8:J21)</f>
        <v>1205</v>
      </c>
      <c r="K22" s="217"/>
      <c r="L22" s="126"/>
    </row>
    <row r="23" spans="2:16" ht="15.75">
      <c r="B23" s="13"/>
      <c r="C23" s="13"/>
      <c r="D23" s="236"/>
      <c r="E23" s="191"/>
      <c r="F23" s="239"/>
      <c r="G23" s="4"/>
      <c r="I23" s="265"/>
      <c r="J23" s="55"/>
      <c r="L23" s="132"/>
      <c r="M23" s="132"/>
      <c r="O23" s="132"/>
      <c r="P23" s="132"/>
    </row>
    <row r="24" spans="4:16" ht="15.75">
      <c r="D24" s="22"/>
      <c r="E24" s="213"/>
      <c r="F24" s="123"/>
      <c r="G24" s="4"/>
      <c r="H24" s="33"/>
      <c r="I24" s="193"/>
      <c r="J24" s="123"/>
      <c r="K24" s="43"/>
      <c r="L24" s="31"/>
      <c r="M24" s="132"/>
      <c r="N24" s="13"/>
      <c r="O24" s="31"/>
      <c r="P24" s="318" t="s">
        <v>46</v>
      </c>
    </row>
    <row r="25" spans="1:16" ht="16.5" customHeight="1">
      <c r="A25" s="23"/>
      <c r="D25" s="22"/>
      <c r="E25" s="50"/>
      <c r="F25" s="4"/>
      <c r="G25" s="4"/>
      <c r="H25" s="90">
        <v>1011</v>
      </c>
      <c r="I25" s="90"/>
      <c r="J25" s="4"/>
      <c r="K25" s="23"/>
      <c r="L25" s="31"/>
      <c r="M25" s="132"/>
      <c r="N25" s="13"/>
      <c r="O25" s="31"/>
      <c r="P25" s="100"/>
    </row>
    <row r="26" spans="4:16" ht="15">
      <c r="D26" s="22"/>
      <c r="E26" s="50"/>
      <c r="F26" s="123"/>
      <c r="G26" s="4"/>
      <c r="H26" s="13">
        <f>H25+A7-J22</f>
        <v>1181</v>
      </c>
      <c r="I26" s="193"/>
      <c r="J26" s="123"/>
      <c r="K26" s="23"/>
      <c r="L26" s="31"/>
      <c r="M26" s="132"/>
      <c r="O26" s="31"/>
      <c r="P26" s="319"/>
    </row>
    <row r="27" spans="4:16" ht="15">
      <c r="D27" s="22"/>
      <c r="F27" s="123"/>
      <c r="G27" s="4"/>
      <c r="I27" s="193"/>
      <c r="J27" s="123"/>
      <c r="K27" s="13"/>
      <c r="L27" s="31"/>
      <c r="M27" s="132"/>
      <c r="O27" s="31"/>
      <c r="P27" s="320"/>
    </row>
    <row r="28" spans="1:16" ht="15">
      <c r="A28" s="43"/>
      <c r="D28" s="22"/>
      <c r="F28" s="123"/>
      <c r="G28" s="4"/>
      <c r="H28" s="125"/>
      <c r="I28" s="23"/>
      <c r="J28" s="123"/>
      <c r="L28" s="114" t="s">
        <v>41</v>
      </c>
      <c r="M28" s="178"/>
      <c r="O28" s="31"/>
      <c r="P28" s="132"/>
    </row>
    <row r="29" spans="4:16" ht="15">
      <c r="D29" s="22"/>
      <c r="F29" s="193"/>
      <c r="G29" s="4"/>
      <c r="H29" s="125"/>
      <c r="I29" s="23"/>
      <c r="J29" s="193"/>
      <c r="L29" s="312">
        <v>37.38</v>
      </c>
      <c r="M29" s="26" t="s">
        <v>45</v>
      </c>
      <c r="O29" s="31"/>
      <c r="P29" s="132"/>
    </row>
    <row r="30" spans="4:16" ht="15">
      <c r="D30" s="22"/>
      <c r="F30" s="123"/>
      <c r="G30" s="4"/>
      <c r="H30" s="125"/>
      <c r="I30" s="23"/>
      <c r="J30" s="123"/>
      <c r="L30" s="312">
        <v>13.73</v>
      </c>
      <c r="M30" s="26" t="s">
        <v>48</v>
      </c>
      <c r="O30" s="302"/>
      <c r="P30" s="132"/>
    </row>
    <row r="31" spans="4:15" ht="15">
      <c r="D31" s="22"/>
      <c r="F31" s="123"/>
      <c r="G31" s="4"/>
      <c r="H31" s="125"/>
      <c r="J31" s="23"/>
      <c r="L31" s="312">
        <v>18.03</v>
      </c>
      <c r="M31" s="101" t="s">
        <v>48</v>
      </c>
      <c r="O31" s="59"/>
    </row>
    <row r="32" spans="4:15" ht="15">
      <c r="D32" s="22"/>
      <c r="F32" s="123"/>
      <c r="G32" s="4"/>
      <c r="H32" s="125"/>
      <c r="J32" s="13"/>
      <c r="L32" s="312">
        <v>16</v>
      </c>
      <c r="M32" s="313" t="s">
        <v>240</v>
      </c>
      <c r="O32" s="144"/>
    </row>
    <row r="33" spans="4:15" ht="15">
      <c r="D33" s="22"/>
      <c r="F33" s="123"/>
      <c r="G33" s="4"/>
      <c r="H33" s="152"/>
      <c r="J33" s="13"/>
      <c r="L33" s="312">
        <v>10.54</v>
      </c>
      <c r="M33" s="313" t="s">
        <v>242</v>
      </c>
      <c r="O33" s="144"/>
    </row>
    <row r="34" spans="4:15" ht="15">
      <c r="D34" s="22"/>
      <c r="F34" s="123"/>
      <c r="G34" s="4"/>
      <c r="H34" s="163"/>
      <c r="I34" s="13"/>
      <c r="J34" s="23"/>
      <c r="L34" s="312">
        <v>40</v>
      </c>
      <c r="M34" s="26" t="s">
        <v>248</v>
      </c>
      <c r="O34" s="144"/>
    </row>
    <row r="35" spans="4:15" ht="15">
      <c r="D35" s="22"/>
      <c r="E35" s="33"/>
      <c r="F35" s="123"/>
      <c r="G35" s="4"/>
      <c r="H35" s="163"/>
      <c r="L35" s="312">
        <v>34.95</v>
      </c>
      <c r="M35" s="26" t="s">
        <v>45</v>
      </c>
      <c r="O35" s="143"/>
    </row>
    <row r="36" spans="8:15" ht="12.75">
      <c r="H36" s="13"/>
      <c r="J36" s="13"/>
      <c r="L36" s="312">
        <v>2.55</v>
      </c>
      <c r="M36" s="26" t="s">
        <v>252</v>
      </c>
      <c r="O36" s="51"/>
    </row>
    <row r="37" spans="11:13" ht="12.75">
      <c r="K37" s="13"/>
      <c r="L37" s="325">
        <v>11.56</v>
      </c>
      <c r="M37" s="26" t="s">
        <v>48</v>
      </c>
    </row>
    <row r="38" spans="11:13" ht="12.75">
      <c r="K38" s="13"/>
      <c r="L38" s="116">
        <v>15.8</v>
      </c>
      <c r="M38" s="114" t="s">
        <v>59</v>
      </c>
    </row>
    <row r="39" spans="10:13" ht="12.75">
      <c r="J39" s="23"/>
      <c r="L39" s="27"/>
      <c r="M39" s="26"/>
    </row>
    <row r="40" spans="10:13" ht="12.75">
      <c r="J40" s="23"/>
      <c r="L40" s="216"/>
      <c r="M40" s="26"/>
    </row>
    <row r="41" spans="10:13" ht="12.75">
      <c r="J41" s="23"/>
      <c r="L41" s="26"/>
      <c r="M41" s="26"/>
    </row>
    <row r="42" spans="11:13" ht="12.75">
      <c r="K42" s="13"/>
      <c r="L42" s="216"/>
      <c r="M42" s="114"/>
    </row>
    <row r="43" spans="12:13" ht="12.75">
      <c r="L43" s="102">
        <f>SUM(L29:L42)</f>
        <v>200.54000000000002</v>
      </c>
      <c r="M43" s="114"/>
    </row>
    <row r="44" spans="12:13" ht="12.75">
      <c r="L44" s="215"/>
      <c r="M44" s="117"/>
    </row>
    <row r="45" ht="12.75">
      <c r="L45" s="226"/>
    </row>
    <row r="46" spans="12:13" ht="12.75">
      <c r="L46" s="23"/>
      <c r="M46" s="33"/>
    </row>
    <row r="47" spans="12:13" ht="12.75">
      <c r="L47" s="23"/>
      <c r="M47" s="152"/>
    </row>
    <row r="48" spans="12:13" ht="12.75">
      <c r="L48" s="23"/>
      <c r="M48" s="152"/>
    </row>
    <row r="49" ht="12.75">
      <c r="L49" s="226">
        <f>SUM(L29:L48)</f>
        <v>401.08000000000004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7109375" style="0" bestFit="1" customWidth="1"/>
    <col min="2" max="2" width="11.7109375" style="0" bestFit="1" customWidth="1"/>
    <col min="3" max="3" width="12.7109375" style="0" customWidth="1"/>
    <col min="5" max="5" width="19.57421875" style="0" bestFit="1" customWidth="1"/>
    <col min="6" max="6" width="12.7109375" style="0" customWidth="1"/>
    <col min="7" max="7" width="12.8515625" style="0" bestFit="1" customWidth="1"/>
    <col min="8" max="8" width="12.421875" style="0" bestFit="1" customWidth="1"/>
    <col min="9" max="9" width="3.28125" style="0" customWidth="1"/>
    <col min="10" max="10" width="12.8515625" style="0" bestFit="1" customWidth="1"/>
    <col min="11" max="11" width="12.8515625" style="0" customWidth="1"/>
    <col min="12" max="12" width="9.57421875" style="0" bestFit="1" customWidth="1"/>
    <col min="13" max="13" width="11.57421875" style="0" bestFit="1" customWidth="1"/>
    <col min="15" max="15" width="10.28125" style="0" bestFit="1" customWidth="1"/>
    <col min="18" max="19" width="10.28125" style="0" bestFit="1" customWidth="1"/>
    <col min="20" max="20" width="11.28125" style="0" bestFit="1" customWidth="1"/>
  </cols>
  <sheetData>
    <row r="1" spans="1:7" ht="15">
      <c r="A1" s="12">
        <v>43160</v>
      </c>
      <c r="B1" s="5"/>
      <c r="C1" s="5"/>
      <c r="D1" s="5"/>
      <c r="E1" s="5"/>
      <c r="G1" s="5"/>
    </row>
    <row r="2" spans="1:7" ht="15">
      <c r="A2" s="5" t="s">
        <v>0</v>
      </c>
      <c r="B2" s="5"/>
      <c r="C2" s="5"/>
      <c r="D2" s="5"/>
      <c r="E2" s="5"/>
      <c r="F2" s="43"/>
      <c r="G2" s="4">
        <f>A16</f>
        <v>6372</v>
      </c>
    </row>
    <row r="3" spans="5:7" ht="15">
      <c r="E3" s="5"/>
      <c r="G3" s="23"/>
    </row>
    <row r="4" spans="1:7" ht="15">
      <c r="A4" s="231">
        <v>657</v>
      </c>
      <c r="B4" t="s">
        <v>2</v>
      </c>
      <c r="D4" s="33"/>
      <c r="E4" s="172" t="s">
        <v>3</v>
      </c>
      <c r="F4" s="206"/>
      <c r="G4" s="4"/>
    </row>
    <row r="5" spans="1:16" ht="15.75">
      <c r="A5" s="23"/>
      <c r="D5" s="33"/>
      <c r="E5" s="174"/>
      <c r="F5" s="196"/>
      <c r="G5" s="4">
        <f>G2-F5</f>
        <v>6372</v>
      </c>
      <c r="H5" s="303"/>
      <c r="J5" s="51"/>
      <c r="K5" s="51"/>
      <c r="N5" s="51"/>
      <c r="O5" s="144"/>
      <c r="P5" s="51"/>
    </row>
    <row r="6" spans="1:16" ht="15.75">
      <c r="A6" s="340">
        <v>296</v>
      </c>
      <c r="B6" t="s">
        <v>4</v>
      </c>
      <c r="D6" s="232">
        <v>43160</v>
      </c>
      <c r="E6" s="174" t="s">
        <v>5</v>
      </c>
      <c r="F6" s="175">
        <v>1174</v>
      </c>
      <c r="G6" s="4">
        <f>G5-F6</f>
        <v>5198</v>
      </c>
      <c r="H6" s="304" t="s">
        <v>6</v>
      </c>
      <c r="J6" s="175"/>
      <c r="K6" s="123"/>
      <c r="L6" s="193"/>
      <c r="N6" s="51"/>
      <c r="O6" s="144"/>
      <c r="P6" s="51"/>
    </row>
    <row r="7" spans="1:17" ht="15.75">
      <c r="A7" s="341">
        <v>1375</v>
      </c>
      <c r="B7" s="5" t="s">
        <v>9</v>
      </c>
      <c r="C7" s="5"/>
      <c r="D7" s="232">
        <v>43168</v>
      </c>
      <c r="E7" s="174" t="s">
        <v>10</v>
      </c>
      <c r="F7" s="177">
        <v>224.25</v>
      </c>
      <c r="G7" s="4">
        <f aca="true" t="shared" si="0" ref="G7:G22">G6-F7</f>
        <v>4973.75</v>
      </c>
      <c r="H7" s="304" t="s">
        <v>243</v>
      </c>
      <c r="I7" s="123"/>
      <c r="J7" s="177"/>
      <c r="K7" s="123"/>
      <c r="L7" s="265"/>
      <c r="Q7" s="33"/>
    </row>
    <row r="8" spans="1:16" ht="15.75">
      <c r="A8" s="342">
        <v>296</v>
      </c>
      <c r="B8" s="5" t="s">
        <v>11</v>
      </c>
      <c r="C8" s="5"/>
      <c r="D8" s="232"/>
      <c r="E8" s="174" t="s">
        <v>12</v>
      </c>
      <c r="F8" s="178">
        <v>130</v>
      </c>
      <c r="G8" s="4">
        <f t="shared" si="0"/>
        <v>4843.75</v>
      </c>
      <c r="H8" s="304" t="s">
        <v>6</v>
      </c>
      <c r="I8" s="123"/>
      <c r="J8" s="178">
        <v>130</v>
      </c>
      <c r="K8" s="123"/>
      <c r="L8" s="193"/>
      <c r="N8" s="126"/>
      <c r="O8" s="153"/>
      <c r="P8" s="126"/>
    </row>
    <row r="9" spans="1:12" ht="15.75">
      <c r="A9" s="343">
        <v>1098</v>
      </c>
      <c r="B9" s="5" t="s">
        <v>13</v>
      </c>
      <c r="C9" s="462"/>
      <c r="D9" s="22">
        <v>43172</v>
      </c>
      <c r="E9" s="174" t="s">
        <v>15</v>
      </c>
      <c r="F9" s="177">
        <v>150.05</v>
      </c>
      <c r="G9" s="4">
        <f t="shared" si="0"/>
        <v>4693.7</v>
      </c>
      <c r="H9" s="304" t="s">
        <v>239</v>
      </c>
      <c r="I9" s="123"/>
      <c r="J9" s="177"/>
      <c r="K9" s="123"/>
      <c r="L9" s="265"/>
    </row>
    <row r="10" spans="1:16" ht="15.75">
      <c r="A10" s="342">
        <v>2246</v>
      </c>
      <c r="B10" s="5" t="s">
        <v>16</v>
      </c>
      <c r="C10" s="5"/>
      <c r="D10" s="22">
        <v>43174</v>
      </c>
      <c r="E10" s="174" t="s">
        <v>17</v>
      </c>
      <c r="F10" s="178">
        <v>135.85</v>
      </c>
      <c r="G10" s="4">
        <f t="shared" si="0"/>
        <v>4557.849999999999</v>
      </c>
      <c r="H10" s="304" t="s">
        <v>251</v>
      </c>
      <c r="I10" s="123"/>
      <c r="J10" s="178"/>
      <c r="K10" s="123"/>
      <c r="L10" s="265"/>
      <c r="M10" s="297" t="s">
        <v>257</v>
      </c>
      <c r="N10" s="298"/>
      <c r="O10" s="299"/>
      <c r="P10" s="300">
        <v>86.75</v>
      </c>
    </row>
    <row r="11" spans="1:16" ht="15.75">
      <c r="A11" s="104">
        <v>404</v>
      </c>
      <c r="B11" s="5" t="s">
        <v>43</v>
      </c>
      <c r="C11" s="287"/>
      <c r="D11" s="22">
        <v>43175</v>
      </c>
      <c r="E11" s="174" t="s">
        <v>19</v>
      </c>
      <c r="F11" s="178">
        <v>200</v>
      </c>
      <c r="G11" s="4">
        <f t="shared" si="0"/>
        <v>4357.849999999999</v>
      </c>
      <c r="H11" s="466" t="s">
        <v>263</v>
      </c>
      <c r="I11" s="123"/>
      <c r="J11" s="178"/>
      <c r="K11" s="123"/>
      <c r="L11" s="193"/>
      <c r="N11" s="51"/>
      <c r="O11" s="51"/>
      <c r="P11" s="144"/>
    </row>
    <row r="12" spans="1:16" ht="15.75">
      <c r="A12" s="234"/>
      <c r="B12" s="5"/>
      <c r="C12" s="5"/>
      <c r="D12" s="22"/>
      <c r="E12" s="174" t="s">
        <v>21</v>
      </c>
      <c r="F12" s="177"/>
      <c r="G12" s="4">
        <f t="shared" si="0"/>
        <v>4357.849999999999</v>
      </c>
      <c r="H12" s="304"/>
      <c r="I12" s="123"/>
      <c r="J12" s="177"/>
      <c r="K12" s="123"/>
      <c r="L12" s="193"/>
      <c r="N12" s="51"/>
      <c r="O12" s="144"/>
      <c r="P12" s="51"/>
    </row>
    <row r="13" spans="1:16" ht="15.75">
      <c r="A13" s="235"/>
      <c r="B13" s="181"/>
      <c r="C13" s="48" t="s">
        <v>49</v>
      </c>
      <c r="D13" s="22">
        <v>43182</v>
      </c>
      <c r="E13" s="174" t="s">
        <v>24</v>
      </c>
      <c r="F13" s="177">
        <v>50</v>
      </c>
      <c r="G13" s="4">
        <f t="shared" si="0"/>
        <v>4307.849999999999</v>
      </c>
      <c r="H13" s="304" t="s">
        <v>255</v>
      </c>
      <c r="I13" s="123"/>
      <c r="J13" s="177">
        <v>50</v>
      </c>
      <c r="K13" s="123"/>
      <c r="L13" s="193"/>
      <c r="N13" s="51" t="s">
        <v>50</v>
      </c>
      <c r="O13" s="144" t="s">
        <v>51</v>
      </c>
      <c r="P13" s="51"/>
    </row>
    <row r="14" spans="1:16" ht="15.75">
      <c r="A14" s="176"/>
      <c r="B14" s="183"/>
      <c r="C14" s="50"/>
      <c r="D14" s="22">
        <v>43164</v>
      </c>
      <c r="E14" s="174" t="s">
        <v>28</v>
      </c>
      <c r="F14" s="175">
        <v>79</v>
      </c>
      <c r="G14" s="4">
        <f t="shared" si="0"/>
        <v>4228.849999999999</v>
      </c>
      <c r="H14" s="304" t="s">
        <v>6</v>
      </c>
      <c r="I14" s="123"/>
      <c r="J14" s="175"/>
      <c r="K14" s="123"/>
      <c r="L14" s="193"/>
      <c r="M14" t="s">
        <v>52</v>
      </c>
      <c r="N14" s="23">
        <v>45</v>
      </c>
      <c r="O14" s="23">
        <v>0</v>
      </c>
      <c r="P14" s="23"/>
    </row>
    <row r="15" spans="1:16" ht="15.75">
      <c r="A15" s="106"/>
      <c r="B15" s="50"/>
      <c r="C15" s="50"/>
      <c r="D15" s="22">
        <v>43174</v>
      </c>
      <c r="E15" s="174" t="s">
        <v>30</v>
      </c>
      <c r="F15" s="178">
        <v>1500</v>
      </c>
      <c r="G15" s="4">
        <f t="shared" si="0"/>
        <v>2728.8499999999995</v>
      </c>
      <c r="H15" s="304" t="s">
        <v>251</v>
      </c>
      <c r="I15" s="123"/>
      <c r="J15" s="178"/>
      <c r="K15" s="123"/>
      <c r="L15" s="193"/>
      <c r="M15" s="43" t="s">
        <v>53</v>
      </c>
      <c r="N15" s="23">
        <v>179</v>
      </c>
      <c r="O15" s="23">
        <v>77</v>
      </c>
      <c r="P15" s="23"/>
    </row>
    <row r="16" spans="1:16" ht="15.75">
      <c r="A16" s="72">
        <f>SUM(A4:A15)</f>
        <v>6372</v>
      </c>
      <c r="D16" s="22">
        <v>43181</v>
      </c>
      <c r="E16" s="186" t="s">
        <v>32</v>
      </c>
      <c r="F16" s="178">
        <v>500</v>
      </c>
      <c r="G16" s="4">
        <f t="shared" si="0"/>
        <v>2228.8499999999995</v>
      </c>
      <c r="H16" s="304" t="s">
        <v>234</v>
      </c>
      <c r="I16" s="123"/>
      <c r="J16" s="178">
        <v>500</v>
      </c>
      <c r="K16" s="123"/>
      <c r="L16" s="193"/>
      <c r="M16" t="s">
        <v>54</v>
      </c>
      <c r="N16" s="23">
        <v>104</v>
      </c>
      <c r="O16" s="23">
        <v>104</v>
      </c>
      <c r="P16" s="23"/>
    </row>
    <row r="17" spans="1:16" ht="15.75">
      <c r="A17" s="23"/>
      <c r="D17" s="22">
        <v>43166</v>
      </c>
      <c r="E17" s="174" t="s">
        <v>33</v>
      </c>
      <c r="F17" s="187">
        <v>500</v>
      </c>
      <c r="G17" s="4">
        <f t="shared" si="0"/>
        <v>1728.8499999999995</v>
      </c>
      <c r="H17" s="304" t="s">
        <v>254</v>
      </c>
      <c r="I17" s="123"/>
      <c r="J17" s="187"/>
      <c r="K17" s="123"/>
      <c r="L17" s="193"/>
      <c r="M17" s="43"/>
      <c r="N17" s="23">
        <f>SUM(N14:N16)</f>
        <v>328</v>
      </c>
      <c r="O17" s="23">
        <f>SUM(O14:O16)</f>
        <v>181</v>
      </c>
      <c r="P17" s="23">
        <f>SUM(N17:O17)</f>
        <v>509</v>
      </c>
    </row>
    <row r="18" spans="1:20" ht="15.75">
      <c r="A18" s="23"/>
      <c r="D18" s="22">
        <v>43181</v>
      </c>
      <c r="E18" s="174" t="s">
        <v>34</v>
      </c>
      <c r="F18" s="188">
        <v>425</v>
      </c>
      <c r="G18" s="4">
        <f t="shared" si="0"/>
        <v>1303.8499999999995</v>
      </c>
      <c r="H18" s="304" t="s">
        <v>234</v>
      </c>
      <c r="I18" s="123"/>
      <c r="J18" s="188">
        <v>425</v>
      </c>
      <c r="K18" s="123"/>
      <c r="L18" s="193"/>
      <c r="N18" s="23"/>
      <c r="O18" s="23"/>
      <c r="P18" s="23"/>
      <c r="S18" s="51"/>
      <c r="T18" s="51"/>
    </row>
    <row r="19" spans="4:20" ht="15.75">
      <c r="D19" s="22">
        <v>43164</v>
      </c>
      <c r="E19" s="189" t="s">
        <v>35</v>
      </c>
      <c r="F19" s="175">
        <v>189</v>
      </c>
      <c r="G19" s="4">
        <f t="shared" si="0"/>
        <v>1114.8499999999995</v>
      </c>
      <c r="H19" s="304" t="s">
        <v>6</v>
      </c>
      <c r="I19" s="123"/>
      <c r="J19" s="175"/>
      <c r="K19" s="123"/>
      <c r="L19" s="193"/>
      <c r="M19" s="43"/>
      <c r="N19" s="23"/>
      <c r="O19" s="23"/>
      <c r="P19" s="23"/>
      <c r="S19" s="144"/>
      <c r="T19" s="51"/>
    </row>
    <row r="20" spans="2:20" ht="15.75">
      <c r="B20" s="43"/>
      <c r="D20" s="22"/>
      <c r="E20" s="191" t="s">
        <v>37</v>
      </c>
      <c r="F20" s="175"/>
      <c r="G20" s="4">
        <f t="shared" si="0"/>
        <v>1114.8499999999995</v>
      </c>
      <c r="H20" s="304"/>
      <c r="I20" s="123"/>
      <c r="J20" s="175">
        <v>200</v>
      </c>
      <c r="K20" s="123"/>
      <c r="L20" s="193"/>
      <c r="S20" s="144"/>
      <c r="T20" s="51"/>
    </row>
    <row r="21" spans="1:20" ht="15.75">
      <c r="A21" s="132"/>
      <c r="B21" s="270"/>
      <c r="C21" s="270"/>
      <c r="D21" s="270"/>
      <c r="E21" s="189" t="s">
        <v>38</v>
      </c>
      <c r="F21" s="175">
        <f>M54</f>
        <v>469.99</v>
      </c>
      <c r="G21" s="4">
        <f t="shared" si="0"/>
        <v>644.8599999999994</v>
      </c>
      <c r="H21" s="304"/>
      <c r="I21" s="123"/>
      <c r="J21" s="175">
        <f>Q54</f>
        <v>0</v>
      </c>
      <c r="K21" s="123"/>
      <c r="S21" s="178"/>
      <c r="T21" s="52" t="s">
        <v>55</v>
      </c>
    </row>
    <row r="22" spans="1:20" ht="15">
      <c r="A22" s="132"/>
      <c r="B22" s="270"/>
      <c r="C22" s="295"/>
      <c r="D22" s="22">
        <v>43166</v>
      </c>
      <c r="E22" s="269" t="s">
        <v>258</v>
      </c>
      <c r="F22" s="196">
        <v>7.25</v>
      </c>
      <c r="G22" s="4">
        <f t="shared" si="0"/>
        <v>637.6099999999994</v>
      </c>
      <c r="H22" s="304" t="s">
        <v>259</v>
      </c>
      <c r="I22" s="123"/>
      <c r="J22" s="123">
        <f>SUM(J6:J21)</f>
        <v>1305</v>
      </c>
      <c r="K22" s="123"/>
      <c r="S22" s="266" t="s">
        <v>56</v>
      </c>
      <c r="T22" s="27">
        <v>1046</v>
      </c>
    </row>
    <row r="23" spans="3:20" ht="15.75">
      <c r="C23" s="97"/>
      <c r="D23" s="190"/>
      <c r="E23" s="191"/>
      <c r="F23" s="305"/>
      <c r="G23" s="4"/>
      <c r="H23" s="304"/>
      <c r="I23" s="123"/>
      <c r="J23" s="451"/>
      <c r="K23" s="123"/>
      <c r="S23" s="266" t="s">
        <v>57</v>
      </c>
      <c r="T23" s="27">
        <v>4325</v>
      </c>
    </row>
    <row r="24" spans="2:20" ht="15.75">
      <c r="B24" s="13"/>
      <c r="C24" s="97"/>
      <c r="D24" s="22"/>
      <c r="E24" s="213"/>
      <c r="F24" s="123"/>
      <c r="G24" s="4"/>
      <c r="H24" s="304"/>
      <c r="I24" s="123"/>
      <c r="J24" s="123"/>
      <c r="K24" s="123"/>
      <c r="S24" s="266" t="s">
        <v>58</v>
      </c>
      <c r="T24" s="27">
        <v>5152.12</v>
      </c>
    </row>
    <row r="25" spans="1:20" ht="15">
      <c r="A25" s="132"/>
      <c r="B25" s="132"/>
      <c r="C25" s="306"/>
      <c r="D25" s="281"/>
      <c r="E25" s="193"/>
      <c r="F25" s="123"/>
      <c r="G25" s="90"/>
      <c r="H25" s="307"/>
      <c r="I25" s="123"/>
      <c r="J25" s="123">
        <v>930</v>
      </c>
      <c r="K25" s="123"/>
      <c r="N25" s="132"/>
      <c r="O25" s="132"/>
      <c r="S25" s="266"/>
      <c r="T25" s="314">
        <f>SUM(T22:T24)</f>
        <v>10523.119999999999</v>
      </c>
    </row>
    <row r="26" spans="1:20" ht="15">
      <c r="A26" s="132"/>
      <c r="B26" s="132"/>
      <c r="C26" s="306"/>
      <c r="D26" s="281"/>
      <c r="E26" s="50"/>
      <c r="F26" s="193"/>
      <c r="G26" s="90"/>
      <c r="H26" s="307"/>
      <c r="I26" s="193"/>
      <c r="J26" s="193"/>
      <c r="K26" s="193"/>
      <c r="N26" s="132"/>
      <c r="O26" s="132"/>
      <c r="S26" s="178"/>
      <c r="T26" s="114"/>
    </row>
    <row r="27" spans="1:20" ht="15">
      <c r="A27" s="132"/>
      <c r="B27" s="132"/>
      <c r="C27" s="308"/>
      <c r="D27" s="281"/>
      <c r="E27" s="50"/>
      <c r="F27" s="193"/>
      <c r="G27" s="90"/>
      <c r="H27" s="309"/>
      <c r="I27" s="193"/>
      <c r="J27" s="193">
        <f>J25+A7-J22</f>
        <v>1000</v>
      </c>
      <c r="K27" s="193"/>
      <c r="N27" s="285"/>
      <c r="R27" s="13"/>
      <c r="S27" s="117">
        <v>1100</v>
      </c>
      <c r="T27" s="315">
        <f>T25+S27</f>
        <v>11623.119999999999</v>
      </c>
    </row>
    <row r="28" spans="1:14" ht="15">
      <c r="A28" s="132"/>
      <c r="B28" s="132"/>
      <c r="C28" s="308"/>
      <c r="D28" s="310"/>
      <c r="E28" s="282"/>
      <c r="F28" s="157"/>
      <c r="G28" s="90"/>
      <c r="H28" s="311"/>
      <c r="I28" s="31"/>
      <c r="K28" s="23"/>
      <c r="L28" s="285"/>
      <c r="M28" s="132"/>
      <c r="N28" s="132"/>
    </row>
    <row r="29" spans="1:16" ht="15">
      <c r="A29" s="132"/>
      <c r="B29" s="132"/>
      <c r="C29" s="132"/>
      <c r="D29" s="310"/>
      <c r="E29" s="282"/>
      <c r="F29" s="157"/>
      <c r="G29" s="90"/>
      <c r="H29" s="311"/>
      <c r="I29" s="31"/>
      <c r="K29" s="23"/>
      <c r="L29" s="285"/>
      <c r="M29" s="132"/>
      <c r="N29" s="132"/>
      <c r="O29" s="13"/>
      <c r="P29" s="13"/>
    </row>
    <row r="30" spans="1:15" ht="15">
      <c r="A30" s="132"/>
      <c r="B30" s="132"/>
      <c r="C30" s="132"/>
      <c r="D30" s="310"/>
      <c r="E30" s="282"/>
      <c r="F30" s="157"/>
      <c r="G30" s="90"/>
      <c r="H30" s="132"/>
      <c r="I30" s="132"/>
      <c r="K30" s="23"/>
      <c r="L30" s="285"/>
      <c r="M30" s="132"/>
      <c r="N30" s="132"/>
      <c r="O30" s="132"/>
    </row>
    <row r="31" spans="1:15" ht="15">
      <c r="A31" s="132"/>
      <c r="B31" s="132"/>
      <c r="C31" s="132"/>
      <c r="D31" s="282"/>
      <c r="E31" s="282"/>
      <c r="F31" s="157"/>
      <c r="G31" s="90"/>
      <c r="H31" s="31"/>
      <c r="I31" s="31"/>
      <c r="K31" s="23"/>
      <c r="L31" s="285"/>
      <c r="M31" s="132"/>
      <c r="N31" s="132"/>
      <c r="O31" s="132"/>
    </row>
    <row r="32" spans="1:15" ht="15">
      <c r="A32" s="132"/>
      <c r="B32" s="132"/>
      <c r="C32" s="132"/>
      <c r="D32" s="282"/>
      <c r="E32" s="282"/>
      <c r="F32" s="157"/>
      <c r="G32" s="31"/>
      <c r="H32" s="31"/>
      <c r="I32" s="132"/>
      <c r="K32" s="23"/>
      <c r="L32" s="285"/>
      <c r="M32" s="114" t="s">
        <v>41</v>
      </c>
      <c r="N32" s="178"/>
      <c r="O32" s="132"/>
    </row>
    <row r="33" spans="1:15" ht="12.75">
      <c r="A33" s="132"/>
      <c r="B33" s="132"/>
      <c r="C33" s="132"/>
      <c r="D33" s="132"/>
      <c r="E33" s="132"/>
      <c r="F33" s="132"/>
      <c r="G33" s="302"/>
      <c r="H33" s="31"/>
      <c r="I33" s="302"/>
      <c r="K33" s="23"/>
      <c r="L33" s="285"/>
      <c r="M33" s="312">
        <v>16.63</v>
      </c>
      <c r="N33" s="26" t="s">
        <v>48</v>
      </c>
      <c r="O33" s="132"/>
    </row>
    <row r="34" spans="1:15" ht="12.75">
      <c r="A34" s="132"/>
      <c r="B34" s="132"/>
      <c r="C34" s="132"/>
      <c r="D34" s="132"/>
      <c r="E34" s="132"/>
      <c r="F34" s="132"/>
      <c r="G34" s="302"/>
      <c r="H34" s="31"/>
      <c r="I34" s="302"/>
      <c r="K34" s="23"/>
      <c r="L34" s="285"/>
      <c r="M34" s="312">
        <v>10.69</v>
      </c>
      <c r="N34" s="26" t="s">
        <v>48</v>
      </c>
      <c r="O34" s="132"/>
    </row>
    <row r="35" spans="1:15" ht="12.75">
      <c r="A35" s="132"/>
      <c r="B35" s="132"/>
      <c r="C35" s="132"/>
      <c r="D35" s="132"/>
      <c r="E35" s="132"/>
      <c r="F35" s="132"/>
      <c r="G35" s="132"/>
      <c r="H35" s="31"/>
      <c r="I35" s="132"/>
      <c r="L35" s="285"/>
      <c r="M35" s="312">
        <v>50</v>
      </c>
      <c r="N35" s="313" t="s">
        <v>236</v>
      </c>
      <c r="O35" s="132"/>
    </row>
    <row r="36" spans="1:15" ht="12.75">
      <c r="A36" s="132"/>
      <c r="B36" s="132"/>
      <c r="C36" s="132"/>
      <c r="D36" s="132"/>
      <c r="E36" s="132"/>
      <c r="F36" s="132"/>
      <c r="G36" s="132"/>
      <c r="H36" s="132"/>
      <c r="I36" s="132"/>
      <c r="L36" s="285"/>
      <c r="M36" s="312">
        <v>15.8</v>
      </c>
      <c r="N36" s="313" t="s">
        <v>59</v>
      </c>
      <c r="O36" s="132"/>
    </row>
    <row r="37" spans="1:15" ht="12.75">
      <c r="A37" s="132"/>
      <c r="B37" s="132"/>
      <c r="C37" s="132"/>
      <c r="D37" s="132"/>
      <c r="E37" s="132"/>
      <c r="F37" s="132"/>
      <c r="G37" s="132"/>
      <c r="H37" s="132"/>
      <c r="I37" s="132"/>
      <c r="L37" s="285"/>
      <c r="M37" s="312">
        <v>39.99</v>
      </c>
      <c r="N37" s="313" t="s">
        <v>262</v>
      </c>
      <c r="O37" s="132"/>
    </row>
    <row r="38" spans="1:15" ht="12.7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215">
        <v>9.16</v>
      </c>
      <c r="N38" s="114" t="s">
        <v>48</v>
      </c>
      <c r="O38" s="132"/>
    </row>
    <row r="39" spans="1:15" ht="12.7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215">
        <v>4.66</v>
      </c>
      <c r="N39" s="114" t="s">
        <v>48</v>
      </c>
      <c r="O39" s="132"/>
    </row>
    <row r="40" spans="1:15" ht="12.7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215">
        <v>3.15</v>
      </c>
      <c r="N40" s="114" t="s">
        <v>267</v>
      </c>
      <c r="O40" s="132"/>
    </row>
    <row r="41" spans="1:15" ht="12.7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314">
        <v>101.5</v>
      </c>
      <c r="N41" s="114" t="s">
        <v>45</v>
      </c>
      <c r="O41" s="132"/>
    </row>
    <row r="42" spans="1:15" ht="12.7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215">
        <v>26.06</v>
      </c>
      <c r="N42" s="114" t="s">
        <v>268</v>
      </c>
      <c r="O42" s="132"/>
    </row>
    <row r="43" spans="1:15" ht="12.7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02">
        <v>8.81</v>
      </c>
      <c r="N43" s="114" t="s">
        <v>270</v>
      </c>
      <c r="O43" s="132"/>
    </row>
    <row r="44" spans="1:15" ht="12.7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215">
        <v>4.16</v>
      </c>
      <c r="N44" s="114" t="s">
        <v>269</v>
      </c>
      <c r="O44" s="132"/>
    </row>
    <row r="45" spans="1:15" ht="12.7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314">
        <v>4.59</v>
      </c>
      <c r="N45" s="114" t="s">
        <v>172</v>
      </c>
      <c r="O45" s="132"/>
    </row>
    <row r="46" spans="13:14" ht="12.75">
      <c r="M46" s="215">
        <v>167.5</v>
      </c>
      <c r="N46" s="114" t="s">
        <v>307</v>
      </c>
    </row>
    <row r="47" spans="13:14" ht="12.75">
      <c r="M47" s="314">
        <v>7.29</v>
      </c>
      <c r="N47" s="114" t="s">
        <v>273</v>
      </c>
    </row>
    <row r="48" spans="13:14" ht="12.75">
      <c r="M48" s="27"/>
      <c r="N48" s="114"/>
    </row>
    <row r="49" spans="13:14" ht="12.75">
      <c r="M49" s="27"/>
      <c r="N49" s="114"/>
    </row>
    <row r="50" spans="13:14" ht="12.75">
      <c r="M50" s="27"/>
      <c r="N50" s="114"/>
    </row>
    <row r="51" spans="13:14" ht="12.75">
      <c r="M51" s="27"/>
      <c r="N51" s="101"/>
    </row>
    <row r="52" spans="13:14" ht="12.75">
      <c r="M52" s="27"/>
      <c r="N52" s="101"/>
    </row>
    <row r="53" spans="13:14" ht="12.75">
      <c r="M53" s="27"/>
      <c r="N53" s="101"/>
    </row>
    <row r="54" spans="13:14" ht="12.75">
      <c r="M54" s="102">
        <f>SUM(M33:M51)</f>
        <v>469.99</v>
      </c>
      <c r="N54" s="2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0">
      <selection activeCell="F9" sqref="F9"/>
    </sheetView>
  </sheetViews>
  <sheetFormatPr defaultColWidth="9.140625" defaultRowHeight="12.75"/>
  <cols>
    <col min="1" max="1" width="14.57421875" style="0" bestFit="1" customWidth="1"/>
    <col min="2" max="2" width="11.7109375" style="0" bestFit="1" customWidth="1"/>
    <col min="3" max="3" width="10.8515625" style="0" bestFit="1" customWidth="1"/>
    <col min="4" max="4" width="9.28125" style="0" bestFit="1" customWidth="1"/>
    <col min="5" max="5" width="19.57421875" style="0" bestFit="1" customWidth="1"/>
    <col min="6" max="6" width="12.8515625" style="0" customWidth="1"/>
    <col min="7" max="7" width="12.8515625" style="0" bestFit="1" customWidth="1"/>
    <col min="8" max="8" width="10.28125" style="0" bestFit="1" customWidth="1"/>
    <col min="9" max="9" width="9.57421875" style="0" bestFit="1" customWidth="1"/>
    <col min="10" max="10" width="11.57421875" style="0" bestFit="1" customWidth="1"/>
    <col min="11" max="11" width="9.57421875" style="0" bestFit="1" customWidth="1"/>
    <col min="13" max="13" width="9.28125" style="0" bestFit="1" customWidth="1"/>
    <col min="14" max="14" width="20.57421875" style="0" customWidth="1"/>
  </cols>
  <sheetData>
    <row r="1" spans="1:8" ht="15">
      <c r="A1" s="12">
        <v>43191</v>
      </c>
      <c r="B1" s="5"/>
      <c r="C1" s="5"/>
      <c r="D1" s="5"/>
      <c r="E1" s="5"/>
      <c r="G1" s="5"/>
      <c r="H1" s="90"/>
    </row>
    <row r="2" spans="1:7" ht="15">
      <c r="A2" s="5" t="s">
        <v>0</v>
      </c>
      <c r="B2" s="5"/>
      <c r="C2" s="5"/>
      <c r="D2" s="5"/>
      <c r="E2" s="5"/>
      <c r="F2" s="43"/>
      <c r="G2" s="4">
        <f>A16</f>
        <v>14338</v>
      </c>
    </row>
    <row r="3" spans="5:7" ht="15">
      <c r="E3" s="5"/>
      <c r="G3" s="23"/>
    </row>
    <row r="4" spans="1:7" ht="15">
      <c r="A4" s="231">
        <v>637</v>
      </c>
      <c r="B4" t="s">
        <v>2</v>
      </c>
      <c r="D4" s="33"/>
      <c r="E4" s="172" t="s">
        <v>3</v>
      </c>
      <c r="F4" s="206"/>
      <c r="G4" s="4"/>
    </row>
    <row r="5" spans="1:7" ht="15.75">
      <c r="A5" s="23"/>
      <c r="D5" s="33"/>
      <c r="E5" s="174"/>
      <c r="F5" s="196"/>
      <c r="G5" s="4">
        <f>G2-F5</f>
        <v>14338</v>
      </c>
    </row>
    <row r="6" spans="1:15" ht="15.75">
      <c r="A6" s="176">
        <v>296</v>
      </c>
      <c r="B6" t="s">
        <v>4</v>
      </c>
      <c r="D6" s="232">
        <v>43192</v>
      </c>
      <c r="E6" s="174" t="s">
        <v>5</v>
      </c>
      <c r="F6" s="175">
        <v>1174</v>
      </c>
      <c r="G6" s="4">
        <f>G5-F6</f>
        <v>13164</v>
      </c>
      <c r="H6" s="126" t="s">
        <v>6</v>
      </c>
      <c r="I6" s="193"/>
      <c r="J6" s="175"/>
      <c r="K6" s="193"/>
      <c r="M6" s="51"/>
      <c r="N6" s="144"/>
      <c r="O6" s="51"/>
    </row>
    <row r="7" spans="1:15" ht="15.75">
      <c r="A7" s="104">
        <v>1375</v>
      </c>
      <c r="B7" s="5" t="s">
        <v>9</v>
      </c>
      <c r="C7" s="5"/>
      <c r="D7" s="232">
        <v>43200</v>
      </c>
      <c r="E7" s="174" t="s">
        <v>10</v>
      </c>
      <c r="F7" s="177">
        <v>224.5</v>
      </c>
      <c r="G7" s="4">
        <f aca="true" t="shared" si="0" ref="G7:G22">G6-F7</f>
        <v>12939.5</v>
      </c>
      <c r="H7" s="126" t="s">
        <v>276</v>
      </c>
      <c r="I7" s="193"/>
      <c r="J7" s="177"/>
      <c r="K7" s="265"/>
      <c r="L7" s="263" t="s">
        <v>60</v>
      </c>
      <c r="M7" s="298"/>
      <c r="N7" s="299"/>
      <c r="O7" s="58"/>
    </row>
    <row r="8" spans="1:15" ht="15.75">
      <c r="A8" s="106">
        <v>296</v>
      </c>
      <c r="B8" s="5" t="s">
        <v>11</v>
      </c>
      <c r="C8" s="5"/>
      <c r="D8" s="232">
        <v>43220</v>
      </c>
      <c r="E8" s="174" t="s">
        <v>12</v>
      </c>
      <c r="F8" s="178">
        <v>130</v>
      </c>
      <c r="G8" s="4">
        <f t="shared" si="0"/>
        <v>12809.5</v>
      </c>
      <c r="H8" s="126" t="s">
        <v>6</v>
      </c>
      <c r="I8" s="193"/>
      <c r="J8" s="178">
        <v>130</v>
      </c>
      <c r="K8" s="193"/>
      <c r="M8" s="126"/>
      <c r="N8" s="153"/>
      <c r="O8" s="209"/>
    </row>
    <row r="9" spans="1:15" ht="15.75">
      <c r="A9" s="106">
        <v>1098</v>
      </c>
      <c r="B9" s="5" t="s">
        <v>13</v>
      </c>
      <c r="C9" s="128"/>
      <c r="D9" s="22">
        <v>43200</v>
      </c>
      <c r="E9" s="174" t="s">
        <v>15</v>
      </c>
      <c r="F9" s="177">
        <v>183.73</v>
      </c>
      <c r="G9" s="4">
        <f t="shared" si="0"/>
        <v>12625.77</v>
      </c>
      <c r="H9" s="126" t="s">
        <v>260</v>
      </c>
      <c r="I9" s="193"/>
      <c r="J9" s="177"/>
      <c r="K9" s="265"/>
      <c r="L9" s="263"/>
      <c r="M9" s="263"/>
      <c r="N9" s="263"/>
      <c r="O9" s="195"/>
    </row>
    <row r="10" spans="1:15" ht="15.75">
      <c r="A10" s="106">
        <v>2246</v>
      </c>
      <c r="B10" s="5" t="s">
        <v>16</v>
      </c>
      <c r="C10" s="5"/>
      <c r="D10" s="22"/>
      <c r="E10" s="174" t="s">
        <v>17</v>
      </c>
      <c r="F10" s="178"/>
      <c r="G10" s="4">
        <f t="shared" si="0"/>
        <v>12625.77</v>
      </c>
      <c r="H10" s="126"/>
      <c r="I10" s="193"/>
      <c r="J10" s="178"/>
      <c r="K10" s="265"/>
      <c r="L10" s="263"/>
      <c r="M10" s="263"/>
      <c r="N10" s="264"/>
      <c r="O10" s="195"/>
    </row>
    <row r="11" spans="1:20" ht="18">
      <c r="A11" s="104">
        <v>968</v>
      </c>
      <c r="B11" s="5" t="s">
        <v>43</v>
      </c>
      <c r="C11" s="287"/>
      <c r="D11" s="22">
        <v>43203</v>
      </c>
      <c r="E11" s="174" t="s">
        <v>19</v>
      </c>
      <c r="F11" s="178">
        <v>100</v>
      </c>
      <c r="G11" s="4">
        <f t="shared" si="0"/>
        <v>12525.77</v>
      </c>
      <c r="H11" s="126" t="s">
        <v>8</v>
      </c>
      <c r="I11" s="193"/>
      <c r="J11" s="178"/>
      <c r="K11" s="193"/>
      <c r="L11" s="301" t="s">
        <v>62</v>
      </c>
      <c r="M11" s="187"/>
      <c r="N11" s="219"/>
      <c r="O11" s="143"/>
      <c r="Q11" s="132"/>
      <c r="R11" s="132"/>
      <c r="S11" s="31"/>
      <c r="T11" s="132"/>
    </row>
    <row r="12" spans="1:20" ht="15.75">
      <c r="A12" s="234">
        <v>1422</v>
      </c>
      <c r="B12" s="5"/>
      <c r="C12" s="464" t="s">
        <v>264</v>
      </c>
      <c r="D12" s="22">
        <v>43214</v>
      </c>
      <c r="E12" s="174" t="s">
        <v>21</v>
      </c>
      <c r="F12" s="177">
        <v>53.28</v>
      </c>
      <c r="G12" s="4">
        <f t="shared" si="0"/>
        <v>12472.49</v>
      </c>
      <c r="H12" s="160" t="s">
        <v>288</v>
      </c>
      <c r="I12" s="193"/>
      <c r="J12" s="177"/>
      <c r="K12" s="193"/>
      <c r="L12" s="178" t="s">
        <v>22</v>
      </c>
      <c r="M12" s="178" t="s">
        <v>63</v>
      </c>
      <c r="N12" s="27"/>
      <c r="O12" s="143">
        <v>162.5</v>
      </c>
      <c r="Q12" s="132"/>
      <c r="R12" s="31"/>
      <c r="S12" s="132"/>
      <c r="T12" s="132"/>
    </row>
    <row r="13" spans="1:20" ht="15.75">
      <c r="A13" s="235">
        <v>2000</v>
      </c>
      <c r="B13" s="181" t="s">
        <v>64</v>
      </c>
      <c r="C13" s="44" t="s">
        <v>61</v>
      </c>
      <c r="D13" s="22">
        <v>43215</v>
      </c>
      <c r="E13" s="174" t="s">
        <v>24</v>
      </c>
      <c r="F13" s="177">
        <v>50</v>
      </c>
      <c r="G13" s="4">
        <f t="shared" si="0"/>
        <v>12422.49</v>
      </c>
      <c r="H13" s="126" t="s">
        <v>253</v>
      </c>
      <c r="I13" s="193"/>
      <c r="J13" s="177"/>
      <c r="K13" s="193"/>
      <c r="L13" s="178" t="s">
        <v>26</v>
      </c>
      <c r="M13" s="89"/>
      <c r="N13" s="27"/>
      <c r="O13" s="58"/>
      <c r="Q13" s="132"/>
      <c r="R13" s="31"/>
      <c r="S13" s="302"/>
      <c r="T13" s="132"/>
    </row>
    <row r="14" spans="1:20" ht="15.75">
      <c r="A14" s="176"/>
      <c r="B14" s="183" t="s">
        <v>65</v>
      </c>
      <c r="C14" s="50"/>
      <c r="D14" s="22">
        <v>43195</v>
      </c>
      <c r="E14" s="174" t="s">
        <v>28</v>
      </c>
      <c r="F14" s="175">
        <v>79</v>
      </c>
      <c r="G14" s="4">
        <f t="shared" si="0"/>
        <v>12343.49</v>
      </c>
      <c r="H14" s="152" t="s">
        <v>6</v>
      </c>
      <c r="I14" s="193"/>
      <c r="J14" s="175"/>
      <c r="K14" s="193"/>
      <c r="L14" s="277" t="s">
        <v>29</v>
      </c>
      <c r="M14" s="89"/>
      <c r="N14" s="26"/>
      <c r="O14" s="195"/>
      <c r="Q14" s="132"/>
      <c r="R14" s="31"/>
      <c r="S14" s="132"/>
      <c r="T14" s="132"/>
    </row>
    <row r="15" spans="1:20" ht="15.75">
      <c r="A15" s="106">
        <v>4000</v>
      </c>
      <c r="B15" s="269" t="s">
        <v>278</v>
      </c>
      <c r="C15" s="50"/>
      <c r="D15" s="22">
        <v>43206</v>
      </c>
      <c r="E15" s="174" t="s">
        <v>30</v>
      </c>
      <c r="F15" s="178">
        <v>1740</v>
      </c>
      <c r="G15" s="4">
        <f t="shared" si="0"/>
        <v>10603.49</v>
      </c>
      <c r="H15" t="s">
        <v>265</v>
      </c>
      <c r="I15" s="126"/>
      <c r="J15" s="178"/>
      <c r="K15" s="193"/>
      <c r="L15" s="178" t="s">
        <v>31</v>
      </c>
      <c r="M15" s="178"/>
      <c r="N15" s="26"/>
      <c r="Q15" s="132"/>
      <c r="R15" s="31">
        <v>6</v>
      </c>
      <c r="S15" s="132"/>
      <c r="T15" s="302">
        <f>R18*4</f>
        <v>64</v>
      </c>
    </row>
    <row r="16" spans="1:20" ht="15.75">
      <c r="A16" s="72">
        <f>SUM(A4:A15)</f>
        <v>14338</v>
      </c>
      <c r="B16" s="50"/>
      <c r="D16" s="22">
        <v>43213</v>
      </c>
      <c r="E16" s="186" t="s">
        <v>32</v>
      </c>
      <c r="F16" s="178">
        <v>1900</v>
      </c>
      <c r="G16" s="4">
        <f t="shared" si="0"/>
        <v>8703.49</v>
      </c>
      <c r="H16" s="126" t="s">
        <v>287</v>
      </c>
      <c r="I16" s="463" t="s">
        <v>256</v>
      </c>
      <c r="J16" s="178"/>
      <c r="K16" s="193"/>
      <c r="L16" s="132"/>
      <c r="Q16" s="132"/>
      <c r="R16" s="31">
        <v>6</v>
      </c>
      <c r="S16" s="132"/>
      <c r="T16" s="302">
        <f>T15*16.5</f>
        <v>1056</v>
      </c>
    </row>
    <row r="17" spans="1:20" ht="15.75">
      <c r="A17" s="23"/>
      <c r="D17" s="22">
        <v>43199</v>
      </c>
      <c r="E17" s="174" t="s">
        <v>33</v>
      </c>
      <c r="F17" s="187">
        <v>2400</v>
      </c>
      <c r="G17" s="4">
        <f t="shared" si="0"/>
        <v>6303.49</v>
      </c>
      <c r="H17" s="236" t="s">
        <v>271</v>
      </c>
      <c r="I17" s="471" t="s">
        <v>272</v>
      </c>
      <c r="J17" s="187"/>
      <c r="K17" s="193"/>
      <c r="L17" s="132"/>
      <c r="Q17" s="132"/>
      <c r="R17" s="31">
        <v>4</v>
      </c>
      <c r="S17" s="132"/>
      <c r="T17" s="132"/>
    </row>
    <row r="18" spans="1:20" ht="15.75">
      <c r="A18" s="23"/>
      <c r="D18" s="22">
        <v>43216</v>
      </c>
      <c r="E18" s="174" t="s">
        <v>34</v>
      </c>
      <c r="F18" s="188">
        <v>425</v>
      </c>
      <c r="G18" s="4">
        <f t="shared" si="0"/>
        <v>5878.49</v>
      </c>
      <c r="H18" s="126" t="s">
        <v>253</v>
      </c>
      <c r="I18" s="193"/>
      <c r="J18" s="188"/>
      <c r="K18" s="193"/>
      <c r="L18" s="132"/>
      <c r="Q18" s="132"/>
      <c r="R18" s="302">
        <f>SUM(R15:R17)</f>
        <v>16</v>
      </c>
      <c r="S18" s="132"/>
      <c r="T18" s="132">
        <f>16.5*60</f>
        <v>990</v>
      </c>
    </row>
    <row r="19" spans="4:20" ht="15.75">
      <c r="D19" s="22">
        <v>43199</v>
      </c>
      <c r="E19" s="189" t="s">
        <v>35</v>
      </c>
      <c r="F19" s="175">
        <v>189</v>
      </c>
      <c r="G19" s="4">
        <f t="shared" si="0"/>
        <v>5689.49</v>
      </c>
      <c r="H19" s="126" t="s">
        <v>6</v>
      </c>
      <c r="I19" s="193"/>
      <c r="J19" s="175"/>
      <c r="K19" s="193"/>
      <c r="L19" s="132"/>
      <c r="Q19" s="132"/>
      <c r="R19" s="132"/>
      <c r="S19" s="132"/>
      <c r="T19" s="132"/>
    </row>
    <row r="20" spans="2:20" ht="15.75">
      <c r="B20" s="43"/>
      <c r="D20" s="22"/>
      <c r="E20" s="191" t="s">
        <v>37</v>
      </c>
      <c r="F20" s="175"/>
      <c r="G20" s="4">
        <f t="shared" si="0"/>
        <v>5689.49</v>
      </c>
      <c r="H20" s="126"/>
      <c r="I20" s="193">
        <v>300</v>
      </c>
      <c r="J20" s="175"/>
      <c r="K20" s="193"/>
      <c r="L20" s="132"/>
      <c r="Q20" s="132"/>
      <c r="R20" s="132"/>
      <c r="S20" s="162"/>
      <c r="T20" s="132"/>
    </row>
    <row r="21" spans="1:20" ht="15.75">
      <c r="A21" s="132"/>
      <c r="B21" s="270"/>
      <c r="C21" s="270"/>
      <c r="D21" s="270"/>
      <c r="E21" s="189" t="s">
        <v>38</v>
      </c>
      <c r="F21" s="175">
        <f>K47</f>
        <v>398.68000000000006</v>
      </c>
      <c r="G21" s="4">
        <f t="shared" si="0"/>
        <v>5290.8099999999995</v>
      </c>
      <c r="H21" s="126"/>
      <c r="I21" s="193"/>
      <c r="J21" s="175"/>
      <c r="K21" s="193"/>
      <c r="L21" s="282"/>
      <c r="N21" s="13"/>
      <c r="Q21" s="132"/>
      <c r="R21" s="132"/>
      <c r="S21" s="31"/>
      <c r="T21" s="132"/>
    </row>
    <row r="22" spans="1:20" ht="15.75">
      <c r="A22" s="132"/>
      <c r="B22" s="270"/>
      <c r="C22" s="295"/>
      <c r="D22" s="160">
        <v>43216</v>
      </c>
      <c r="E22" s="189" t="s">
        <v>283</v>
      </c>
      <c r="F22" s="123">
        <v>5000</v>
      </c>
      <c r="G22" s="4">
        <f t="shared" si="0"/>
        <v>290.8099999999995</v>
      </c>
      <c r="H22" s="126"/>
      <c r="I22" s="193"/>
      <c r="J22" s="123"/>
      <c r="K22" s="193"/>
      <c r="L22" s="282"/>
      <c r="M22" s="13"/>
      <c r="Q22" s="132"/>
      <c r="R22" s="132"/>
      <c r="S22" s="31"/>
      <c r="T22" s="132"/>
    </row>
    <row r="23" spans="4:20" ht="15.75">
      <c r="D23" s="256"/>
      <c r="E23" s="191"/>
      <c r="F23" s="123"/>
      <c r="G23" s="4"/>
      <c r="H23" s="126"/>
      <c r="I23" s="193"/>
      <c r="J23" s="193">
        <f>SUM(J6:J22)</f>
        <v>130</v>
      </c>
      <c r="K23" s="193"/>
      <c r="L23" s="282"/>
      <c r="M23" s="13"/>
      <c r="Q23" s="132"/>
      <c r="R23" s="132"/>
      <c r="S23" s="31"/>
      <c r="T23" s="132"/>
    </row>
    <row r="24" spans="4:20" ht="15.75">
      <c r="D24" s="256"/>
      <c r="E24" s="213"/>
      <c r="F24" s="123"/>
      <c r="G24" s="4"/>
      <c r="H24" s="126"/>
      <c r="I24" s="193"/>
      <c r="J24" s="193"/>
      <c r="K24" s="157"/>
      <c r="L24" s="282"/>
      <c r="M24" s="13"/>
      <c r="Q24" s="132"/>
      <c r="R24" s="132"/>
      <c r="S24" s="31"/>
      <c r="T24" s="132"/>
    </row>
    <row r="25" spans="4:20" ht="15">
      <c r="D25" s="256"/>
      <c r="E25" s="50"/>
      <c r="F25" s="123"/>
      <c r="G25" s="123"/>
      <c r="H25" s="126"/>
      <c r="I25" s="193"/>
      <c r="J25" s="193"/>
      <c r="K25" s="31"/>
      <c r="L25" s="132"/>
      <c r="M25" s="23"/>
      <c r="Q25" s="132"/>
      <c r="R25" s="132"/>
      <c r="S25" s="31"/>
      <c r="T25" s="132"/>
    </row>
    <row r="26" spans="4:20" ht="15">
      <c r="D26" s="256"/>
      <c r="E26" s="126"/>
      <c r="F26" s="123"/>
      <c r="G26" s="123"/>
      <c r="H26" s="125">
        <v>2672</v>
      </c>
      <c r="I26" s="479"/>
      <c r="J26" s="126"/>
      <c r="K26" s="31"/>
      <c r="L26" s="132"/>
      <c r="N26" s="13"/>
      <c r="Q26" s="132"/>
      <c r="R26" s="132"/>
      <c r="S26" s="31"/>
      <c r="T26" s="132"/>
    </row>
    <row r="27" spans="4:20" ht="15">
      <c r="D27" s="256"/>
      <c r="E27" s="126"/>
      <c r="F27" s="123"/>
      <c r="G27" s="123"/>
      <c r="H27" s="480">
        <f>H26-J23-A9-924</f>
        <v>520</v>
      </c>
      <c r="I27" s="125"/>
      <c r="J27" s="217"/>
      <c r="K27" s="302"/>
      <c r="L27" s="31"/>
      <c r="M27" s="23"/>
      <c r="Q27" s="132"/>
      <c r="R27" s="132"/>
      <c r="S27" s="31"/>
      <c r="T27" s="132"/>
    </row>
    <row r="28" spans="4:20" ht="15">
      <c r="D28" s="296"/>
      <c r="F28" s="123"/>
      <c r="G28" s="4"/>
      <c r="H28" s="23"/>
      <c r="I28" s="23"/>
      <c r="K28" s="132"/>
      <c r="L28" s="132"/>
      <c r="Q28" s="132"/>
      <c r="R28" s="132"/>
      <c r="S28" s="132"/>
      <c r="T28" s="132"/>
    </row>
    <row r="29" spans="4:20" ht="15">
      <c r="D29" s="296"/>
      <c r="E29" s="33"/>
      <c r="F29" s="123"/>
      <c r="G29" s="4"/>
      <c r="H29" s="23"/>
      <c r="I29" s="23"/>
      <c r="K29" s="132"/>
      <c r="L29" s="132"/>
      <c r="M29" s="13"/>
      <c r="Q29" s="302"/>
      <c r="R29" s="132"/>
      <c r="S29" s="31"/>
      <c r="T29" s="132"/>
    </row>
    <row r="30" spans="5:20" ht="15">
      <c r="E30" s="33"/>
      <c r="F30" s="23"/>
      <c r="G30" s="4"/>
      <c r="I30" s="23"/>
      <c r="K30" t="s">
        <v>66</v>
      </c>
      <c r="Q30" s="132"/>
      <c r="R30" s="132"/>
      <c r="S30" s="31"/>
      <c r="T30" s="132"/>
    </row>
    <row r="31" spans="11:20" ht="12.75">
      <c r="K31" s="215">
        <v>27.75</v>
      </c>
      <c r="L31" s="114" t="s">
        <v>199</v>
      </c>
      <c r="M31" s="13"/>
      <c r="Q31" s="132"/>
      <c r="R31" s="132"/>
      <c r="S31" s="31"/>
      <c r="T31" s="132"/>
    </row>
    <row r="32" spans="9:20" ht="12.75">
      <c r="I32" s="13"/>
      <c r="K32" s="215">
        <v>16.75</v>
      </c>
      <c r="L32" s="229" t="s">
        <v>273</v>
      </c>
      <c r="Q32" s="132"/>
      <c r="R32" s="132"/>
      <c r="S32" s="31"/>
      <c r="T32" s="132"/>
    </row>
    <row r="33" spans="9:20" ht="12.75">
      <c r="I33" s="23"/>
      <c r="K33" s="215">
        <v>4.08</v>
      </c>
      <c r="L33" s="114" t="s">
        <v>274</v>
      </c>
      <c r="Q33" s="132"/>
      <c r="R33" s="132"/>
      <c r="S33" s="31"/>
      <c r="T33" s="132"/>
    </row>
    <row r="34" spans="9:20" ht="12.75">
      <c r="I34" s="13"/>
      <c r="K34" s="215">
        <v>11.38</v>
      </c>
      <c r="L34" s="229" t="s">
        <v>275</v>
      </c>
      <c r="Q34" s="132"/>
      <c r="R34" s="132"/>
      <c r="S34" s="302"/>
      <c r="T34" s="132"/>
    </row>
    <row r="35" spans="9:20" ht="12.75">
      <c r="I35" s="13"/>
      <c r="K35" s="27">
        <v>10.08</v>
      </c>
      <c r="L35" s="26" t="s">
        <v>275</v>
      </c>
      <c r="Q35" s="132"/>
      <c r="R35" s="132"/>
      <c r="S35" s="132"/>
      <c r="T35" s="132"/>
    </row>
    <row r="36" spans="4:12" ht="12.75">
      <c r="D36" s="13"/>
      <c r="I36" s="13"/>
      <c r="K36" s="27">
        <v>15.88</v>
      </c>
      <c r="L36" s="26" t="s">
        <v>279</v>
      </c>
    </row>
    <row r="37" spans="9:12" ht="12.75">
      <c r="I37" s="13"/>
      <c r="K37" s="27">
        <v>8.72</v>
      </c>
      <c r="L37" s="26" t="s">
        <v>280</v>
      </c>
    </row>
    <row r="38" spans="11:12" ht="12.75">
      <c r="K38" s="27">
        <v>6.92</v>
      </c>
      <c r="L38" s="26" t="s">
        <v>273</v>
      </c>
    </row>
    <row r="39" spans="11:12" ht="12.75">
      <c r="K39" s="27">
        <v>15.21</v>
      </c>
      <c r="L39" s="26" t="s">
        <v>281</v>
      </c>
    </row>
    <row r="40" spans="11:12" ht="12.75">
      <c r="K40" s="27">
        <v>36.54</v>
      </c>
      <c r="L40" s="26" t="s">
        <v>282</v>
      </c>
    </row>
    <row r="41" spans="11:12" ht="12.75">
      <c r="K41" s="27">
        <v>15.8</v>
      </c>
      <c r="L41" s="26" t="s">
        <v>59</v>
      </c>
    </row>
    <row r="42" spans="11:16" ht="12.75">
      <c r="K42" s="27">
        <v>178</v>
      </c>
      <c r="L42" s="26" t="s">
        <v>285</v>
      </c>
      <c r="O42" s="143"/>
      <c r="P42" s="51"/>
    </row>
    <row r="43" spans="11:16" ht="12.75">
      <c r="K43" s="27">
        <v>3.1</v>
      </c>
      <c r="L43" s="26" t="s">
        <v>273</v>
      </c>
      <c r="O43" s="143"/>
      <c r="P43" s="51"/>
    </row>
    <row r="44" spans="11:16" ht="12.75">
      <c r="K44" s="27">
        <v>5.49</v>
      </c>
      <c r="L44" s="26" t="s">
        <v>273</v>
      </c>
      <c r="O44" s="143"/>
      <c r="P44" s="51"/>
    </row>
    <row r="45" spans="11:16" ht="12.75">
      <c r="K45" s="27">
        <v>34.25</v>
      </c>
      <c r="L45" s="26" t="s">
        <v>172</v>
      </c>
      <c r="O45" s="143"/>
      <c r="P45" s="51"/>
    </row>
    <row r="46" spans="11:12" ht="12.75">
      <c r="K46" s="27">
        <v>8.73</v>
      </c>
      <c r="L46" s="26" t="s">
        <v>290</v>
      </c>
    </row>
    <row r="47" spans="11:12" ht="12.75">
      <c r="K47" s="204">
        <f>SUM(K31:K46)</f>
        <v>398.68000000000006</v>
      </c>
      <c r="L47" s="26"/>
    </row>
  </sheetData>
  <sheetProtection/>
  <hyperlinks>
    <hyperlink ref="L14" r:id="rId1" display="wfwatw@gmail.com"/>
  </hyperlinks>
  <printOptions/>
  <pageMargins left="0.75" right="0.75" top="1" bottom="1" header="0.5" footer="0.5"/>
  <pageSetup horizontalDpi="300" verticalDpi="30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3.140625" style="0" bestFit="1" customWidth="1"/>
    <col min="2" max="2" width="11.7109375" style="0" bestFit="1" customWidth="1"/>
    <col min="3" max="3" width="12.421875" style="0" customWidth="1"/>
    <col min="4" max="4" width="9.57421875" style="0" bestFit="1" customWidth="1"/>
    <col min="5" max="5" width="19.57421875" style="0" bestFit="1" customWidth="1"/>
    <col min="6" max="6" width="11.57421875" style="0" customWidth="1"/>
    <col min="7" max="7" width="12.8515625" style="0" bestFit="1" customWidth="1"/>
    <col min="8" max="8" width="9.57421875" style="0" bestFit="1" customWidth="1"/>
    <col min="9" max="9" width="9.8515625" style="0" bestFit="1" customWidth="1"/>
    <col min="10" max="10" width="10.8515625" style="0" bestFit="1" customWidth="1"/>
    <col min="11" max="12" width="9.57421875" style="0" bestFit="1" customWidth="1"/>
    <col min="13" max="14" width="9.28125" style="0" bestFit="1" customWidth="1"/>
    <col min="16" max="16" width="9.28125" style="0" bestFit="1" customWidth="1"/>
    <col min="19" max="19" width="11.28125" style="0" bestFit="1" customWidth="1"/>
  </cols>
  <sheetData>
    <row r="1" spans="1:7" ht="15">
      <c r="A1" s="12">
        <v>43221</v>
      </c>
      <c r="B1" s="5"/>
      <c r="C1" s="5"/>
      <c r="D1" s="5"/>
      <c r="E1" s="5"/>
      <c r="G1" s="5"/>
    </row>
    <row r="2" spans="1:7" ht="15">
      <c r="A2" s="5" t="s">
        <v>0</v>
      </c>
      <c r="B2" s="5"/>
      <c r="C2" s="5"/>
      <c r="D2" s="5"/>
      <c r="E2" s="5"/>
      <c r="F2" s="43"/>
      <c r="G2" s="4">
        <f>A16</f>
        <v>6025</v>
      </c>
    </row>
    <row r="3" spans="5:7" ht="15">
      <c r="E3" s="5"/>
      <c r="G3" s="23"/>
    </row>
    <row r="4" spans="1:11" ht="15">
      <c r="A4" s="231">
        <v>290</v>
      </c>
      <c r="B4" t="s">
        <v>2</v>
      </c>
      <c r="D4" s="33"/>
      <c r="E4" s="172" t="s">
        <v>3</v>
      </c>
      <c r="F4" s="206"/>
      <c r="G4" s="4"/>
      <c r="I4" s="132"/>
      <c r="J4" s="132"/>
      <c r="K4" s="132"/>
    </row>
    <row r="5" spans="1:21" ht="15.75">
      <c r="A5" s="23"/>
      <c r="D5" s="33"/>
      <c r="E5" s="174"/>
      <c r="F5" s="196"/>
      <c r="G5" s="4">
        <f>G2-F5</f>
        <v>6025</v>
      </c>
      <c r="H5" s="126"/>
      <c r="I5" s="126"/>
      <c r="J5" s="126"/>
      <c r="K5" s="132"/>
      <c r="S5" s="29" t="s">
        <v>304</v>
      </c>
      <c r="T5" s="498">
        <v>338</v>
      </c>
      <c r="U5" s="29" t="s">
        <v>305</v>
      </c>
    </row>
    <row r="6" spans="1:12" ht="15.75">
      <c r="A6" s="176">
        <v>296</v>
      </c>
      <c r="B6" t="s">
        <v>4</v>
      </c>
      <c r="D6" s="232">
        <v>43221</v>
      </c>
      <c r="E6" s="174" t="s">
        <v>5</v>
      </c>
      <c r="F6" s="175">
        <v>1174</v>
      </c>
      <c r="G6" s="4">
        <f>G5-F6</f>
        <v>4851</v>
      </c>
      <c r="H6" s="126" t="s">
        <v>6</v>
      </c>
      <c r="I6" s="485"/>
      <c r="J6" s="486"/>
      <c r="K6" s="126"/>
      <c r="L6" s="126"/>
    </row>
    <row r="7" spans="1:15" ht="15.75">
      <c r="A7" s="104">
        <v>1375</v>
      </c>
      <c r="B7" s="5" t="s">
        <v>9</v>
      </c>
      <c r="C7" s="5"/>
      <c r="D7" s="232">
        <v>43230</v>
      </c>
      <c r="E7" s="174" t="s">
        <v>10</v>
      </c>
      <c r="F7" s="177">
        <v>226</v>
      </c>
      <c r="G7" s="4">
        <f aca="true" t="shared" si="0" ref="G7:G22">G6-F7</f>
        <v>4625</v>
      </c>
      <c r="H7" s="152" t="s">
        <v>294</v>
      </c>
      <c r="I7" s="485"/>
      <c r="J7" s="486"/>
      <c r="K7" s="193"/>
      <c r="L7" s="193"/>
      <c r="M7" s="29" t="s">
        <v>68</v>
      </c>
      <c r="N7" s="29"/>
      <c r="O7" s="29"/>
    </row>
    <row r="8" spans="1:15" ht="15.75">
      <c r="A8" s="106">
        <v>296</v>
      </c>
      <c r="B8" s="5" t="s">
        <v>11</v>
      </c>
      <c r="C8" s="5"/>
      <c r="D8" s="232">
        <v>43249</v>
      </c>
      <c r="E8" s="174" t="s">
        <v>12</v>
      </c>
      <c r="F8" s="178">
        <v>130</v>
      </c>
      <c r="G8" s="4">
        <f t="shared" si="0"/>
        <v>4495</v>
      </c>
      <c r="H8" s="126" t="s">
        <v>6</v>
      </c>
      <c r="I8" s="487"/>
      <c r="J8" s="488"/>
      <c r="K8" s="193"/>
      <c r="L8" s="193"/>
      <c r="M8" s="51"/>
      <c r="N8" s="144"/>
      <c r="O8" s="51"/>
    </row>
    <row r="9" spans="1:17" ht="15.75">
      <c r="A9" s="106">
        <v>598</v>
      </c>
      <c r="B9" s="5" t="s">
        <v>13</v>
      </c>
      <c r="C9" s="481" t="s">
        <v>296</v>
      </c>
      <c r="D9" s="22">
        <v>43228</v>
      </c>
      <c r="E9" s="174" t="s">
        <v>15</v>
      </c>
      <c r="F9" s="177">
        <v>191.08</v>
      </c>
      <c r="G9" s="4">
        <f t="shared" si="0"/>
        <v>4303.92</v>
      </c>
      <c r="H9" s="152" t="s">
        <v>286</v>
      </c>
      <c r="I9" s="487"/>
      <c r="J9" s="486"/>
      <c r="K9" s="193"/>
      <c r="L9" s="193"/>
      <c r="M9" s="51"/>
      <c r="N9" s="144"/>
      <c r="O9" s="51"/>
      <c r="Q9" s="13"/>
    </row>
    <row r="10" spans="1:15" ht="15.75">
      <c r="A10" s="106">
        <v>2246</v>
      </c>
      <c r="B10" s="5" t="s">
        <v>16</v>
      </c>
      <c r="C10" s="5"/>
      <c r="D10" s="22">
        <v>43249</v>
      </c>
      <c r="E10" s="174" t="s">
        <v>17</v>
      </c>
      <c r="F10" s="178">
        <v>140.68</v>
      </c>
      <c r="G10" s="4">
        <f t="shared" si="0"/>
        <v>4163.24</v>
      </c>
      <c r="H10" s="152" t="s">
        <v>277</v>
      </c>
      <c r="I10" s="487"/>
      <c r="J10" s="488"/>
      <c r="K10" s="193"/>
      <c r="L10" s="193"/>
      <c r="M10" s="51"/>
      <c r="N10" s="151"/>
      <c r="O10" s="59"/>
    </row>
    <row r="11" spans="1:15" ht="15.75">
      <c r="A11" s="104">
        <v>924</v>
      </c>
      <c r="B11" s="5" t="s">
        <v>43</v>
      </c>
      <c r="C11" s="287"/>
      <c r="D11" s="22">
        <v>43236</v>
      </c>
      <c r="E11" s="174" t="s">
        <v>19</v>
      </c>
      <c r="F11" s="178">
        <v>100</v>
      </c>
      <c r="G11" s="4">
        <f t="shared" si="0"/>
        <v>4063.24</v>
      </c>
      <c r="H11" s="152" t="s">
        <v>302</v>
      </c>
      <c r="I11" s="489"/>
      <c r="J11" s="488"/>
      <c r="K11" s="193"/>
      <c r="L11" s="193"/>
      <c r="M11" s="126"/>
      <c r="N11" s="153"/>
      <c r="O11" s="126"/>
    </row>
    <row r="12" spans="1:18" ht="15.75">
      <c r="A12" s="234"/>
      <c r="B12" s="5"/>
      <c r="C12" s="5"/>
      <c r="D12" s="22"/>
      <c r="E12" s="174" t="s">
        <v>21</v>
      </c>
      <c r="F12" s="177"/>
      <c r="G12" s="4">
        <f t="shared" si="0"/>
        <v>4063.24</v>
      </c>
      <c r="H12" s="126"/>
      <c r="I12" s="487"/>
      <c r="J12" s="486"/>
      <c r="K12" s="193"/>
      <c r="L12" s="193"/>
      <c r="M12" s="51"/>
      <c r="N12" s="51"/>
      <c r="O12" s="51"/>
      <c r="P12" s="125"/>
      <c r="Q12" s="126"/>
      <c r="R12" s="126"/>
    </row>
    <row r="13" spans="1:18" ht="15.75">
      <c r="A13" s="235"/>
      <c r="B13" s="288"/>
      <c r="C13" s="44"/>
      <c r="D13" s="22">
        <v>43245</v>
      </c>
      <c r="E13" s="174" t="s">
        <v>24</v>
      </c>
      <c r="F13" s="177">
        <v>50</v>
      </c>
      <c r="G13" s="4">
        <f t="shared" si="0"/>
        <v>4013.24</v>
      </c>
      <c r="H13" s="152" t="s">
        <v>277</v>
      </c>
      <c r="I13" s="487"/>
      <c r="J13" s="486"/>
      <c r="K13" s="193"/>
      <c r="L13" s="193"/>
      <c r="M13" s="51"/>
      <c r="N13" s="51"/>
      <c r="O13" s="51"/>
      <c r="P13" s="125"/>
      <c r="Q13" s="126"/>
      <c r="R13" s="125">
        <v>226</v>
      </c>
    </row>
    <row r="14" spans="1:18" ht="15.75">
      <c r="A14" s="176"/>
      <c r="B14" s="183"/>
      <c r="C14" s="50"/>
      <c r="D14" s="22">
        <v>43227</v>
      </c>
      <c r="E14" s="174" t="s">
        <v>28</v>
      </c>
      <c r="F14" s="175">
        <v>79</v>
      </c>
      <c r="G14" s="4">
        <f t="shared" si="0"/>
        <v>3934.24</v>
      </c>
      <c r="H14" s="152" t="s">
        <v>6</v>
      </c>
      <c r="I14" s="487"/>
      <c r="J14" s="486"/>
      <c r="K14" s="193"/>
      <c r="L14" s="193"/>
      <c r="M14" s="51"/>
      <c r="N14" s="51"/>
      <c r="O14" s="51"/>
      <c r="P14" s="125"/>
      <c r="Q14" s="126"/>
      <c r="R14" s="125">
        <v>130</v>
      </c>
    </row>
    <row r="15" spans="1:18" ht="15.75">
      <c r="A15" s="106"/>
      <c r="B15" s="50"/>
      <c r="C15" s="50"/>
      <c r="D15" s="22">
        <v>43235</v>
      </c>
      <c r="E15" s="174" t="s">
        <v>30</v>
      </c>
      <c r="F15" s="178">
        <v>1789</v>
      </c>
      <c r="G15" s="4">
        <f t="shared" si="0"/>
        <v>2145.24</v>
      </c>
      <c r="H15" s="236" t="s">
        <v>295</v>
      </c>
      <c r="I15" s="487"/>
      <c r="J15" s="488"/>
      <c r="K15" s="193"/>
      <c r="L15" s="193"/>
      <c r="M15" s="51"/>
      <c r="N15" s="51"/>
      <c r="O15" s="51"/>
      <c r="P15" s="125"/>
      <c r="Q15" s="126"/>
      <c r="R15" s="125">
        <v>100</v>
      </c>
    </row>
    <row r="16" spans="1:19" ht="15.75">
      <c r="A16" s="72">
        <f>SUM(A4:A15)</f>
        <v>6025</v>
      </c>
      <c r="D16" s="22">
        <v>43243</v>
      </c>
      <c r="E16" s="186" t="s">
        <v>32</v>
      </c>
      <c r="F16" s="178">
        <v>500</v>
      </c>
      <c r="G16" s="4">
        <f t="shared" si="0"/>
        <v>1645.2399999999998</v>
      </c>
      <c r="H16" s="152" t="s">
        <v>303</v>
      </c>
      <c r="I16" s="487"/>
      <c r="J16" s="488"/>
      <c r="K16" s="193"/>
      <c r="L16" s="193"/>
      <c r="M16" s="51"/>
      <c r="N16" s="51"/>
      <c r="O16" s="51"/>
      <c r="P16" s="243"/>
      <c r="Q16" s="209"/>
      <c r="R16" s="243">
        <v>50</v>
      </c>
      <c r="S16" s="23"/>
    </row>
    <row r="17" spans="1:19" ht="15.75">
      <c r="A17" s="23"/>
      <c r="D17" s="22">
        <v>43228</v>
      </c>
      <c r="E17" s="174" t="s">
        <v>33</v>
      </c>
      <c r="F17" s="187">
        <v>500</v>
      </c>
      <c r="G17" s="4">
        <f t="shared" si="0"/>
        <v>1145.2399999999998</v>
      </c>
      <c r="H17" s="126" t="s">
        <v>293</v>
      </c>
      <c r="I17" s="487" t="s">
        <v>61</v>
      </c>
      <c r="J17" s="488"/>
      <c r="K17" s="193"/>
      <c r="L17" s="193"/>
      <c r="M17" s="51"/>
      <c r="N17" s="51"/>
      <c r="O17" s="51"/>
      <c r="R17" s="125">
        <v>1789</v>
      </c>
      <c r="S17" s="23"/>
    </row>
    <row r="18" spans="1:19" ht="15.75">
      <c r="A18" s="23"/>
      <c r="D18" s="22">
        <v>43249</v>
      </c>
      <c r="E18" s="174" t="s">
        <v>34</v>
      </c>
      <c r="F18" s="188">
        <v>425</v>
      </c>
      <c r="G18" s="4">
        <f t="shared" si="0"/>
        <v>720.2399999999998</v>
      </c>
      <c r="H18" s="289" t="s">
        <v>277</v>
      </c>
      <c r="I18" s="490"/>
      <c r="J18" s="491"/>
      <c r="K18" s="193"/>
      <c r="L18" s="193"/>
      <c r="M18" s="51"/>
      <c r="N18" s="51"/>
      <c r="O18" s="51"/>
      <c r="R18" s="125">
        <v>500</v>
      </c>
      <c r="S18" s="23"/>
    </row>
    <row r="19" spans="4:18" ht="15.75">
      <c r="D19" s="22">
        <v>43227</v>
      </c>
      <c r="E19" s="189" t="s">
        <v>35</v>
      </c>
      <c r="F19" s="175">
        <v>189</v>
      </c>
      <c r="G19" s="4">
        <f t="shared" si="0"/>
        <v>531.2399999999998</v>
      </c>
      <c r="H19" s="126" t="s">
        <v>6</v>
      </c>
      <c r="I19" s="485"/>
      <c r="J19" s="486"/>
      <c r="K19" s="193"/>
      <c r="L19" s="193"/>
      <c r="M19" s="51"/>
      <c r="N19" s="144"/>
      <c r="O19" s="51"/>
      <c r="R19" s="125">
        <v>425</v>
      </c>
    </row>
    <row r="20" spans="2:18" ht="15.75">
      <c r="B20" s="43"/>
      <c r="D20" s="22"/>
      <c r="E20" s="191" t="s">
        <v>37</v>
      </c>
      <c r="F20" s="175"/>
      <c r="G20" s="4">
        <f t="shared" si="0"/>
        <v>531.2399999999998</v>
      </c>
      <c r="H20" s="126"/>
      <c r="I20" s="492"/>
      <c r="J20" s="486">
        <v>300</v>
      </c>
      <c r="K20" s="193"/>
      <c r="L20" s="193"/>
      <c r="M20" s="51"/>
      <c r="N20" s="51"/>
      <c r="O20" s="26" t="s">
        <v>70</v>
      </c>
      <c r="P20" s="26"/>
      <c r="R20" s="125">
        <v>350</v>
      </c>
    </row>
    <row r="21" spans="1:19" ht="15.75">
      <c r="A21" s="132"/>
      <c r="B21" s="270"/>
      <c r="C21" s="270"/>
      <c r="D21" s="270"/>
      <c r="E21" s="189" t="s">
        <v>38</v>
      </c>
      <c r="F21" s="175">
        <f>P47</f>
        <v>158.31</v>
      </c>
      <c r="G21" s="4">
        <f t="shared" si="0"/>
        <v>372.9299999999998</v>
      </c>
      <c r="H21" s="126"/>
      <c r="I21" s="485"/>
      <c r="J21" s="486">
        <f>T47</f>
        <v>0</v>
      </c>
      <c r="K21" s="193"/>
      <c r="L21" s="193"/>
      <c r="M21" s="51"/>
      <c r="N21" s="51"/>
      <c r="O21" s="27" t="s">
        <v>291</v>
      </c>
      <c r="P21" s="27">
        <v>33.94</v>
      </c>
      <c r="R21" s="23"/>
      <c r="S21" s="13"/>
    </row>
    <row r="22" spans="4:18" ht="15.75">
      <c r="D22" s="284">
        <v>43229</v>
      </c>
      <c r="E22" s="189" t="s">
        <v>301</v>
      </c>
      <c r="F22" s="175">
        <v>50</v>
      </c>
      <c r="G22" s="4">
        <f t="shared" si="0"/>
        <v>322.9299999999998</v>
      </c>
      <c r="H22" s="152" t="s">
        <v>201</v>
      </c>
      <c r="I22" s="493"/>
      <c r="J22" s="486"/>
      <c r="K22" s="193"/>
      <c r="L22" s="193"/>
      <c r="M22" s="51"/>
      <c r="N22" s="51"/>
      <c r="O22" s="27" t="s">
        <v>292</v>
      </c>
      <c r="P22" s="27">
        <v>14.73</v>
      </c>
      <c r="R22" s="23"/>
    </row>
    <row r="23" spans="1:18" ht="15.75">
      <c r="A23" s="31"/>
      <c r="B23" s="290"/>
      <c r="C23" s="270"/>
      <c r="D23" s="284"/>
      <c r="E23" s="189"/>
      <c r="F23" s="175"/>
      <c r="G23" s="90"/>
      <c r="H23" s="126"/>
      <c r="I23" s="485"/>
      <c r="J23" s="494">
        <f>SUM(J8:J22)</f>
        <v>300</v>
      </c>
      <c r="K23" s="193"/>
      <c r="L23" s="193"/>
      <c r="M23" s="51"/>
      <c r="N23" s="51"/>
      <c r="O23" s="27" t="s">
        <v>273</v>
      </c>
      <c r="P23" s="27">
        <v>11.99</v>
      </c>
      <c r="R23" s="23">
        <f>SUM(R13:R22)</f>
        <v>3570</v>
      </c>
    </row>
    <row r="24" spans="1:16" ht="15.75">
      <c r="A24" s="23"/>
      <c r="B24" s="23"/>
      <c r="D24" s="291"/>
      <c r="E24" s="191"/>
      <c r="F24" s="175"/>
      <c r="G24" s="259"/>
      <c r="H24" s="126"/>
      <c r="I24" s="485"/>
      <c r="J24" s="495"/>
      <c r="K24" s="193"/>
      <c r="L24" s="193"/>
      <c r="M24" s="193"/>
      <c r="N24" s="51"/>
      <c r="O24" s="27" t="s">
        <v>300</v>
      </c>
      <c r="P24" s="27">
        <v>9</v>
      </c>
    </row>
    <row r="25" spans="1:16" ht="15">
      <c r="A25" s="23"/>
      <c r="D25" s="292"/>
      <c r="E25" s="50"/>
      <c r="F25" s="193"/>
      <c r="G25" s="259"/>
      <c r="H25" s="152"/>
      <c r="I25" s="485"/>
      <c r="J25" s="494"/>
      <c r="K25" s="285"/>
      <c r="L25" s="193"/>
      <c r="M25" s="144"/>
      <c r="N25" s="51"/>
      <c r="O25" s="27" t="s">
        <v>59</v>
      </c>
      <c r="P25" s="27">
        <v>15.8</v>
      </c>
    </row>
    <row r="26" spans="2:16" ht="15.75">
      <c r="B26" s="13"/>
      <c r="D26" s="292"/>
      <c r="E26" s="162"/>
      <c r="F26" s="193"/>
      <c r="G26" s="259"/>
      <c r="H26" s="152"/>
      <c r="I26" s="496">
        <v>2915</v>
      </c>
      <c r="J26" s="494"/>
      <c r="K26" s="132"/>
      <c r="L26" s="214"/>
      <c r="M26" s="51"/>
      <c r="N26" s="51"/>
      <c r="O26" s="294" t="s">
        <v>269</v>
      </c>
      <c r="P26" s="27">
        <v>5.19</v>
      </c>
    </row>
    <row r="27" spans="4:16" ht="15">
      <c r="D27" s="292"/>
      <c r="E27" s="282"/>
      <c r="F27" s="193"/>
      <c r="G27" s="259"/>
      <c r="H27" s="126"/>
      <c r="I27" s="497"/>
      <c r="J27" s="494"/>
      <c r="K27" s="132"/>
      <c r="L27" s="193"/>
      <c r="M27" s="151"/>
      <c r="N27" s="51"/>
      <c r="O27" s="27" t="s">
        <v>309</v>
      </c>
      <c r="P27" s="215">
        <v>17.66</v>
      </c>
    </row>
    <row r="28" spans="4:16" ht="15">
      <c r="D28" s="284"/>
      <c r="E28" s="5"/>
      <c r="F28" s="193"/>
      <c r="G28" s="259"/>
      <c r="H28" s="126"/>
      <c r="I28" s="209"/>
      <c r="J28" s="126"/>
      <c r="K28" s="132"/>
      <c r="L28" s="193"/>
      <c r="O28" s="215" t="s">
        <v>285</v>
      </c>
      <c r="P28" s="215">
        <v>50</v>
      </c>
    </row>
    <row r="29" spans="4:16" ht="15">
      <c r="D29" s="22"/>
      <c r="E29" s="5"/>
      <c r="F29" s="193"/>
      <c r="G29" s="259"/>
      <c r="H29" s="152"/>
      <c r="I29" s="217">
        <f>I26-1095-1265-J23</f>
        <v>255</v>
      </c>
      <c r="J29" s="126"/>
      <c r="K29" s="132"/>
      <c r="L29" s="23"/>
      <c r="O29" s="100"/>
      <c r="P29" s="215"/>
    </row>
    <row r="30" spans="5:16" ht="15">
      <c r="E30" s="5"/>
      <c r="H30" s="126"/>
      <c r="I30" s="126"/>
      <c r="J30" s="126"/>
      <c r="L30" s="23"/>
      <c r="O30" s="215"/>
      <c r="P30" s="27"/>
    </row>
    <row r="31" spans="12:16" ht="12.75">
      <c r="L31" s="23"/>
      <c r="O31" s="28"/>
      <c r="P31" s="27"/>
    </row>
    <row r="32" spans="7:16" ht="12.75">
      <c r="G32" s="43"/>
      <c r="L32" s="13"/>
      <c r="O32" s="27"/>
      <c r="P32" s="27"/>
    </row>
    <row r="33" spans="15:18" ht="12.75">
      <c r="O33" s="27"/>
      <c r="P33" s="27"/>
      <c r="R33" s="23"/>
    </row>
    <row r="34" spans="12:18" ht="12.75">
      <c r="L34" s="13"/>
      <c r="O34" s="27"/>
      <c r="P34" s="27"/>
      <c r="R34" s="23"/>
    </row>
    <row r="35" spans="12:18" ht="12.75">
      <c r="L35" s="13"/>
      <c r="O35" s="27"/>
      <c r="P35" s="27"/>
      <c r="Q35" s="33"/>
      <c r="R35" s="23"/>
    </row>
    <row r="36" spans="15:18" ht="12.75">
      <c r="O36" s="27"/>
      <c r="P36" s="27"/>
      <c r="R36" s="23"/>
    </row>
    <row r="37" spans="15:16" ht="12.75">
      <c r="O37" s="27"/>
      <c r="P37" s="27"/>
    </row>
    <row r="38" spans="15:16" ht="12.75">
      <c r="O38" s="27"/>
      <c r="P38" s="27"/>
    </row>
    <row r="39" spans="15:16" ht="12.75">
      <c r="O39" s="27"/>
      <c r="P39" s="27"/>
    </row>
    <row r="40" spans="15:16" ht="12.75">
      <c r="O40" s="27"/>
      <c r="P40" s="27"/>
    </row>
    <row r="41" spans="15:16" ht="12.75">
      <c r="O41" s="27"/>
      <c r="P41" s="27"/>
    </row>
    <row r="42" spans="15:16" ht="12.75">
      <c r="O42" s="27"/>
      <c r="P42" s="27"/>
    </row>
    <row r="43" spans="15:16" ht="12.75">
      <c r="O43" s="27"/>
      <c r="P43" s="27"/>
    </row>
    <row r="44" spans="15:16" ht="12.75">
      <c r="O44" s="26"/>
      <c r="P44" s="27"/>
    </row>
    <row r="45" spans="15:16" ht="12.75">
      <c r="O45" s="216">
        <f>SUM(O21:O44)</f>
        <v>0</v>
      </c>
      <c r="P45" s="27"/>
    </row>
    <row r="46" ht="12.75">
      <c r="P46" s="23"/>
    </row>
    <row r="47" ht="12.75">
      <c r="P47" s="23">
        <f>SUM(P21:P46)</f>
        <v>158.31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4.28125" style="0" bestFit="1" customWidth="1"/>
    <col min="2" max="2" width="11.7109375" style="0" bestFit="1" customWidth="1"/>
    <col min="3" max="3" width="11.7109375" style="0" customWidth="1"/>
    <col min="4" max="4" width="10.421875" style="0" bestFit="1" customWidth="1"/>
    <col min="5" max="5" width="7.7109375" style="0" bestFit="1" customWidth="1"/>
    <col min="6" max="6" width="19.57421875" style="0" bestFit="1" customWidth="1"/>
    <col min="7" max="7" width="12.8515625" style="0" customWidth="1"/>
    <col min="8" max="8" width="12.8515625" style="0" bestFit="1" customWidth="1"/>
    <col min="9" max="9" width="10.8515625" style="0" bestFit="1" customWidth="1"/>
    <col min="11" max="11" width="9.8515625" style="0" bestFit="1" customWidth="1"/>
    <col min="12" max="12" width="9.57421875" style="0" bestFit="1" customWidth="1"/>
    <col min="13" max="13" width="32.28125" style="0" bestFit="1" customWidth="1"/>
    <col min="14" max="14" width="9.28125" style="0" bestFit="1" customWidth="1"/>
  </cols>
  <sheetData>
    <row r="1" spans="1:9" ht="15">
      <c r="A1" s="252">
        <v>43252</v>
      </c>
      <c r="B1" s="5"/>
      <c r="C1" s="5"/>
      <c r="F1" s="5"/>
      <c r="G1" s="43"/>
      <c r="H1" s="90"/>
      <c r="I1" s="90"/>
    </row>
    <row r="2" ht="15">
      <c r="F2" s="5"/>
    </row>
    <row r="3" spans="1:8" ht="15">
      <c r="A3" s="5" t="s">
        <v>0</v>
      </c>
      <c r="B3" s="5"/>
      <c r="C3" s="5"/>
      <c r="D3" s="5"/>
      <c r="F3" s="5"/>
      <c r="G3" s="43"/>
      <c r="H3" s="90">
        <f>A17</f>
        <v>7469</v>
      </c>
    </row>
    <row r="4" spans="6:12" ht="15">
      <c r="F4" s="5"/>
      <c r="L4" s="259"/>
    </row>
    <row r="5" spans="1:12" ht="15">
      <c r="A5" s="171">
        <v>322</v>
      </c>
      <c r="B5" t="s">
        <v>2</v>
      </c>
      <c r="F5" s="172" t="s">
        <v>3</v>
      </c>
      <c r="G5" s="178"/>
      <c r="H5" s="90"/>
      <c r="L5" s="259"/>
    </row>
    <row r="6" spans="5:14" ht="15.75">
      <c r="E6" s="22"/>
      <c r="F6" s="174"/>
      <c r="G6" s="178"/>
      <c r="H6" s="4">
        <f>H3-G6</f>
        <v>7469</v>
      </c>
      <c r="L6" s="90"/>
      <c r="M6" s="193"/>
      <c r="N6" s="126"/>
    </row>
    <row r="7" spans="1:14" ht="15.75">
      <c r="A7" s="176">
        <v>296</v>
      </c>
      <c r="B7" t="s">
        <v>4</v>
      </c>
      <c r="E7" s="22">
        <v>43252</v>
      </c>
      <c r="F7" s="174" t="s">
        <v>5</v>
      </c>
      <c r="G7" s="178">
        <v>1174</v>
      </c>
      <c r="H7" s="4">
        <f>H6-G7</f>
        <v>6295</v>
      </c>
      <c r="I7" s="33" t="s">
        <v>6</v>
      </c>
      <c r="K7" s="193"/>
      <c r="L7" s="90"/>
      <c r="M7" s="193"/>
      <c r="N7" s="126"/>
    </row>
    <row r="8" spans="1:14" ht="15.75">
      <c r="A8" s="104">
        <v>1375</v>
      </c>
      <c r="B8" s="5" t="s">
        <v>9</v>
      </c>
      <c r="C8" s="5"/>
      <c r="D8" s="5"/>
      <c r="E8" s="22">
        <v>43259</v>
      </c>
      <c r="F8" s="174" t="s">
        <v>10</v>
      </c>
      <c r="G8" s="47">
        <v>224.5</v>
      </c>
      <c r="H8" s="4">
        <f>H7-G8</f>
        <v>6070.5</v>
      </c>
      <c r="I8" t="s">
        <v>308</v>
      </c>
      <c r="K8" s="265"/>
      <c r="L8" s="90"/>
      <c r="M8" s="193"/>
      <c r="N8" s="126"/>
    </row>
    <row r="9" spans="1:19" ht="15.75">
      <c r="A9" s="106">
        <v>296</v>
      </c>
      <c r="B9" s="5" t="s">
        <v>11</v>
      </c>
      <c r="C9" s="5"/>
      <c r="D9" s="5"/>
      <c r="E9" s="22">
        <v>43279</v>
      </c>
      <c r="F9" s="174" t="s">
        <v>12</v>
      </c>
      <c r="G9" s="49">
        <v>130</v>
      </c>
      <c r="H9" s="4">
        <f>H8-G9</f>
        <v>5940.5</v>
      </c>
      <c r="I9" s="33" t="s">
        <v>6</v>
      </c>
      <c r="K9" s="193"/>
      <c r="L9" s="90"/>
      <c r="M9" s="193"/>
      <c r="N9" s="126"/>
      <c r="S9">
        <v>26500</v>
      </c>
    </row>
    <row r="10" spans="1:19" ht="15.75">
      <c r="A10" s="106">
        <v>598</v>
      </c>
      <c r="B10" s="5" t="s">
        <v>13</v>
      </c>
      <c r="C10" s="128" t="s">
        <v>321</v>
      </c>
      <c r="E10" s="22">
        <v>43257</v>
      </c>
      <c r="F10" s="174" t="s">
        <v>15</v>
      </c>
      <c r="G10" s="47">
        <v>169</v>
      </c>
      <c r="H10" s="4">
        <f>H9-G10</f>
        <v>5771.5</v>
      </c>
      <c r="I10" s="33" t="s">
        <v>312</v>
      </c>
      <c r="J10" t="s">
        <v>311</v>
      </c>
      <c r="K10" s="265"/>
      <c r="L10" s="90"/>
      <c r="M10" s="193"/>
      <c r="N10" s="126"/>
      <c r="O10" s="126"/>
      <c r="P10" s="126"/>
      <c r="Q10" s="132"/>
      <c r="S10">
        <v>799</v>
      </c>
    </row>
    <row r="11" spans="1:19" ht="15.75">
      <c r="A11" s="106">
        <v>2246</v>
      </c>
      <c r="B11" s="5" t="s">
        <v>16</v>
      </c>
      <c r="C11" s="5"/>
      <c r="D11" s="5"/>
      <c r="E11" s="22"/>
      <c r="F11" s="174" t="s">
        <v>17</v>
      </c>
      <c r="G11" s="49"/>
      <c r="H11" s="4">
        <f aca="true" t="shared" si="0" ref="H11:H24">H10-G11</f>
        <v>5771.5</v>
      </c>
      <c r="K11" s="193"/>
      <c r="L11" s="90"/>
      <c r="M11" s="193"/>
      <c r="N11" s="126"/>
      <c r="O11" s="132"/>
      <c r="P11" s="132"/>
      <c r="Q11" s="132"/>
      <c r="S11">
        <v>1134</v>
      </c>
    </row>
    <row r="12" spans="1:19" ht="16.5">
      <c r="A12" s="104">
        <v>1265</v>
      </c>
      <c r="B12" s="5" t="s">
        <v>71</v>
      </c>
      <c r="C12" s="5"/>
      <c r="D12" s="5"/>
      <c r="E12" s="22">
        <v>43270</v>
      </c>
      <c r="F12" s="174" t="s">
        <v>19</v>
      </c>
      <c r="G12" s="49">
        <v>100</v>
      </c>
      <c r="H12" s="4">
        <f t="shared" si="0"/>
        <v>5671.5</v>
      </c>
      <c r="I12" t="s">
        <v>320</v>
      </c>
      <c r="J12" s="470"/>
      <c r="K12" s="293"/>
      <c r="L12" s="90"/>
      <c r="M12" s="193"/>
      <c r="N12" s="126"/>
      <c r="S12">
        <v>41.36</v>
      </c>
    </row>
    <row r="13" spans="1:19" ht="15.75">
      <c r="A13" s="179"/>
      <c r="B13" s="5"/>
      <c r="C13" s="5"/>
      <c r="D13" s="5"/>
      <c r="E13" s="22"/>
      <c r="F13" s="174" t="s">
        <v>21</v>
      </c>
      <c r="G13" s="47"/>
      <c r="H13" s="4">
        <f t="shared" si="0"/>
        <v>5671.5</v>
      </c>
      <c r="K13" s="265"/>
      <c r="L13" s="259"/>
      <c r="M13" s="193"/>
      <c r="N13" s="126"/>
      <c r="S13">
        <f>SUM(S9:S12)</f>
        <v>28474.36</v>
      </c>
    </row>
    <row r="14" spans="1:16" ht="15.75">
      <c r="A14" s="180">
        <v>571</v>
      </c>
      <c r="B14" s="181" t="s">
        <v>27</v>
      </c>
      <c r="C14" s="44"/>
      <c r="D14" s="147"/>
      <c r="E14" s="22">
        <v>43276</v>
      </c>
      <c r="F14" s="174" t="s">
        <v>24</v>
      </c>
      <c r="G14" s="46">
        <v>50</v>
      </c>
      <c r="H14" s="4">
        <f t="shared" si="0"/>
        <v>5621.5</v>
      </c>
      <c r="I14" t="s">
        <v>316</v>
      </c>
      <c r="K14" s="265"/>
      <c r="L14" s="259"/>
      <c r="M14" s="193"/>
      <c r="N14" s="217"/>
      <c r="O14" s="285"/>
      <c r="P14" s="132"/>
    </row>
    <row r="15" spans="1:16" ht="15.75">
      <c r="A15" s="182">
        <v>500</v>
      </c>
      <c r="B15" s="183" t="s">
        <v>65</v>
      </c>
      <c r="C15" s="50"/>
      <c r="D15" s="190"/>
      <c r="E15" s="22">
        <v>43256</v>
      </c>
      <c r="F15" s="174" t="s">
        <v>28</v>
      </c>
      <c r="G15" s="49">
        <v>79</v>
      </c>
      <c r="H15" s="4">
        <f t="shared" si="0"/>
        <v>5542.5</v>
      </c>
      <c r="I15" s="33" t="s">
        <v>6</v>
      </c>
      <c r="J15" s="51"/>
      <c r="K15" s="193"/>
      <c r="L15" s="259"/>
      <c r="M15" s="193"/>
      <c r="N15" s="126"/>
      <c r="O15" s="132"/>
      <c r="P15" s="132"/>
    </row>
    <row r="16" spans="1:16" ht="15.75">
      <c r="A16" s="184"/>
      <c r="E16" s="22"/>
      <c r="F16" s="174" t="s">
        <v>74</v>
      </c>
      <c r="G16" s="49"/>
      <c r="H16" s="4">
        <f t="shared" si="0"/>
        <v>5542.5</v>
      </c>
      <c r="J16" s="51"/>
      <c r="K16" s="193"/>
      <c r="L16" s="259"/>
      <c r="M16" s="193"/>
      <c r="N16" s="126"/>
      <c r="O16" s="132"/>
      <c r="P16" s="285"/>
    </row>
    <row r="17" spans="1:14" ht="15.75">
      <c r="A17" s="185">
        <f>SUM(A5:A16)</f>
        <v>7469</v>
      </c>
      <c r="E17" s="22">
        <v>43265</v>
      </c>
      <c r="F17" s="174" t="s">
        <v>30</v>
      </c>
      <c r="G17" s="49">
        <v>1776</v>
      </c>
      <c r="H17" s="4">
        <f t="shared" si="0"/>
        <v>3766.5</v>
      </c>
      <c r="I17" s="128" t="s">
        <v>317</v>
      </c>
      <c r="J17" s="59"/>
      <c r="K17" s="193"/>
      <c r="L17" s="259"/>
      <c r="M17" s="193"/>
      <c r="N17" s="126"/>
    </row>
    <row r="18" spans="5:16" ht="15.75">
      <c r="E18" s="22">
        <v>43276</v>
      </c>
      <c r="F18" s="186" t="s">
        <v>32</v>
      </c>
      <c r="G18" s="49">
        <v>500</v>
      </c>
      <c r="H18" s="4">
        <f t="shared" si="0"/>
        <v>3266.5</v>
      </c>
      <c r="I18" s="33" t="s">
        <v>310</v>
      </c>
      <c r="J18" s="51"/>
      <c r="K18" s="193"/>
      <c r="L18" s="193"/>
      <c r="M18" s="193"/>
      <c r="N18" s="545" t="s">
        <v>70</v>
      </c>
      <c r="O18" s="546"/>
      <c r="P18" s="547"/>
    </row>
    <row r="19" spans="5:16" ht="15.75">
      <c r="E19" s="22">
        <v>43257</v>
      </c>
      <c r="F19" s="174" t="s">
        <v>33</v>
      </c>
      <c r="G19" s="46">
        <v>500</v>
      </c>
      <c r="H19" s="4">
        <f t="shared" si="0"/>
        <v>2766.5</v>
      </c>
      <c r="I19" s="33" t="s">
        <v>318</v>
      </c>
      <c r="J19" s="51"/>
      <c r="K19" s="193"/>
      <c r="L19" s="193"/>
      <c r="M19" s="193"/>
      <c r="N19" s="215" t="s">
        <v>199</v>
      </c>
      <c r="O19" s="101">
        <v>30.57</v>
      </c>
      <c r="P19" s="26"/>
    </row>
    <row r="20" spans="5:16" ht="15.75">
      <c r="E20" s="22">
        <v>43276</v>
      </c>
      <c r="F20" s="174" t="s">
        <v>34</v>
      </c>
      <c r="G20" s="49">
        <v>425</v>
      </c>
      <c r="H20" s="4">
        <f t="shared" si="0"/>
        <v>2341.5</v>
      </c>
      <c r="I20" t="s">
        <v>289</v>
      </c>
      <c r="J20" s="51"/>
      <c r="K20" s="193"/>
      <c r="L20" s="193"/>
      <c r="M20" s="193"/>
      <c r="N20" s="215" t="s">
        <v>273</v>
      </c>
      <c r="O20" s="26">
        <v>4.19</v>
      </c>
      <c r="P20" s="26"/>
    </row>
    <row r="21" spans="5:16" ht="15.75">
      <c r="E21" s="22">
        <v>43256</v>
      </c>
      <c r="F21" s="189" t="s">
        <v>35</v>
      </c>
      <c r="G21" s="49">
        <v>189</v>
      </c>
      <c r="H21" s="4">
        <f t="shared" si="0"/>
        <v>2152.5</v>
      </c>
      <c r="I21" s="33" t="s">
        <v>6</v>
      </c>
      <c r="J21" s="51"/>
      <c r="K21" s="193"/>
      <c r="L21" s="90"/>
      <c r="M21" s="193"/>
      <c r="N21" s="215" t="s">
        <v>313</v>
      </c>
      <c r="O21" s="26">
        <v>1.29</v>
      </c>
      <c r="P21" s="26"/>
    </row>
    <row r="22" spans="1:16" ht="15.75">
      <c r="A22" s="23"/>
      <c r="B22" s="23"/>
      <c r="C22" s="23"/>
      <c r="E22" s="190"/>
      <c r="F22" s="191" t="s">
        <v>37</v>
      </c>
      <c r="G22" s="47"/>
      <c r="H22" s="4">
        <f t="shared" si="0"/>
        <v>2152.5</v>
      </c>
      <c r="J22" s="144">
        <v>400</v>
      </c>
      <c r="K22" s="265"/>
      <c r="L22" s="193"/>
      <c r="M22" s="193"/>
      <c r="N22" s="215" t="s">
        <v>314</v>
      </c>
      <c r="O22" s="26">
        <v>8.43</v>
      </c>
      <c r="P22" s="26"/>
    </row>
    <row r="23" spans="5:16" ht="15.75">
      <c r="E23" s="284"/>
      <c r="F23" s="213" t="s">
        <v>38</v>
      </c>
      <c r="G23" s="49">
        <f>O38</f>
        <v>186.99</v>
      </c>
      <c r="H23" s="4">
        <f t="shared" si="0"/>
        <v>1965.51</v>
      </c>
      <c r="I23" s="33"/>
      <c r="J23" s="51"/>
      <c r="K23" s="193"/>
      <c r="L23" s="13"/>
      <c r="M23" s="193"/>
      <c r="N23" s="215" t="s">
        <v>315</v>
      </c>
      <c r="O23" s="26">
        <v>19.74</v>
      </c>
      <c r="P23" s="26"/>
    </row>
    <row r="24" spans="5:16" ht="15.75">
      <c r="E24" s="284">
        <v>43270</v>
      </c>
      <c r="F24" s="50" t="s">
        <v>211</v>
      </c>
      <c r="G24" s="123">
        <v>30</v>
      </c>
      <c r="H24" s="4">
        <f t="shared" si="0"/>
        <v>1935.51</v>
      </c>
      <c r="I24" s="33" t="s">
        <v>201</v>
      </c>
      <c r="J24" s="59"/>
      <c r="K24" s="214"/>
      <c r="M24" s="193"/>
      <c r="N24" s="215" t="s">
        <v>59</v>
      </c>
      <c r="O24" s="268">
        <v>15.8</v>
      </c>
      <c r="P24" s="26"/>
    </row>
    <row r="25" spans="5:16" ht="15">
      <c r="E25" s="284"/>
      <c r="F25" s="33"/>
      <c r="G25" s="123"/>
      <c r="H25" s="4"/>
      <c r="I25" s="33"/>
      <c r="J25" s="51"/>
      <c r="K25" s="193"/>
      <c r="M25" s="126"/>
      <c r="N25" s="215" t="s">
        <v>274</v>
      </c>
      <c r="O25" s="268">
        <v>4.08</v>
      </c>
      <c r="P25" s="26"/>
    </row>
    <row r="26" spans="5:16" ht="15">
      <c r="E26" s="284"/>
      <c r="F26" s="33"/>
      <c r="G26" s="123"/>
      <c r="H26" s="4"/>
      <c r="I26" s="33"/>
      <c r="J26" s="286"/>
      <c r="K26" s="193"/>
      <c r="L26" s="13"/>
      <c r="M26" s="126"/>
      <c r="N26" s="215" t="s">
        <v>319</v>
      </c>
      <c r="O26" s="268">
        <v>8.42</v>
      </c>
      <c r="P26" s="26"/>
    </row>
    <row r="27" spans="5:16" ht="15">
      <c r="E27" s="22"/>
      <c r="F27" s="33"/>
      <c r="G27" s="123"/>
      <c r="H27" s="4"/>
      <c r="I27" s="33"/>
      <c r="J27" s="51"/>
      <c r="K27" s="193"/>
      <c r="L27" s="13"/>
      <c r="M27" s="125"/>
      <c r="N27" s="215" t="s">
        <v>273</v>
      </c>
      <c r="O27" s="268">
        <v>11.64</v>
      </c>
      <c r="P27" s="26"/>
    </row>
    <row r="28" spans="5:16" ht="15">
      <c r="E28" s="22"/>
      <c r="F28" s="33"/>
      <c r="G28" s="123"/>
      <c r="H28" s="90"/>
      <c r="I28" s="33"/>
      <c r="J28" s="51"/>
      <c r="K28" s="193"/>
      <c r="M28" s="153"/>
      <c r="N28" s="215" t="s">
        <v>273</v>
      </c>
      <c r="O28" s="268">
        <v>10.79</v>
      </c>
      <c r="P28" s="26"/>
    </row>
    <row r="29" spans="7:16" ht="12.75">
      <c r="G29" s="23"/>
      <c r="J29" s="51"/>
      <c r="K29" s="51"/>
      <c r="L29" s="13"/>
      <c r="M29" s="126"/>
      <c r="N29" s="229" t="s">
        <v>327</v>
      </c>
      <c r="O29" s="268">
        <v>10.06</v>
      </c>
      <c r="P29" s="26"/>
    </row>
    <row r="30" spans="7:16" ht="12.75">
      <c r="G30" s="23"/>
      <c r="J30" s="51"/>
      <c r="K30" s="144"/>
      <c r="N30" s="100" t="s">
        <v>328</v>
      </c>
      <c r="O30" s="114">
        <v>50.61</v>
      </c>
      <c r="P30" s="26"/>
    </row>
    <row r="31" spans="7:16" ht="12.75">
      <c r="G31" s="23"/>
      <c r="J31" s="51"/>
      <c r="K31" s="144"/>
      <c r="N31" s="100" t="s">
        <v>269</v>
      </c>
      <c r="O31" s="114">
        <v>11.37</v>
      </c>
      <c r="P31" s="26"/>
    </row>
    <row r="32" spans="7:16" ht="12.75">
      <c r="G32" s="23"/>
      <c r="J32" s="51"/>
      <c r="K32" s="144"/>
      <c r="N32" s="100"/>
      <c r="O32" s="114"/>
      <c r="P32" s="26"/>
    </row>
    <row r="33" spans="7:16" ht="12.75">
      <c r="G33" s="23"/>
      <c r="J33" s="51"/>
      <c r="K33" s="144"/>
      <c r="N33" s="100"/>
      <c r="O33" s="114"/>
      <c r="P33" s="26"/>
    </row>
    <row r="34" spans="7:16" ht="12.75">
      <c r="G34" s="23"/>
      <c r="J34" s="51"/>
      <c r="K34" s="144"/>
      <c r="N34" s="100"/>
      <c r="O34" s="114"/>
      <c r="P34" s="26"/>
    </row>
    <row r="35" spans="7:16" ht="12.75">
      <c r="G35" s="23"/>
      <c r="J35" s="51"/>
      <c r="K35" s="144"/>
      <c r="N35" s="216"/>
      <c r="O35" s="114"/>
      <c r="P35" s="26"/>
    </row>
    <row r="36" spans="7:16" ht="12.75">
      <c r="G36" s="23"/>
      <c r="J36" s="51"/>
      <c r="K36" s="144"/>
      <c r="N36" s="216"/>
      <c r="O36" s="114"/>
      <c r="P36" s="26"/>
    </row>
    <row r="37" spans="7:16" ht="12.75">
      <c r="G37" s="23"/>
      <c r="J37" s="51"/>
      <c r="K37" s="144"/>
      <c r="N37" s="216"/>
      <c r="O37" s="114"/>
      <c r="P37" s="26"/>
    </row>
    <row r="38" spans="10:16" ht="12.75">
      <c r="J38" s="51"/>
      <c r="K38" s="144"/>
      <c r="N38" s="216">
        <f>SUM(N19:N37)</f>
        <v>0</v>
      </c>
      <c r="O38" s="26">
        <f>SUM(O19:O37)</f>
        <v>186.99</v>
      </c>
      <c r="P38" s="26"/>
    </row>
    <row r="39" spans="10:11" ht="12.75">
      <c r="J39" s="51"/>
      <c r="K39" s="144"/>
    </row>
    <row r="40" spans="10:11" ht="12.75">
      <c r="J40" s="51"/>
      <c r="K40" s="144"/>
    </row>
    <row r="41" spans="10:11" ht="12.75">
      <c r="J41" s="51"/>
      <c r="K41" s="151"/>
    </row>
  </sheetData>
  <sheetProtection/>
  <mergeCells count="1">
    <mergeCell ref="N18:P18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4">
      <selection activeCell="L24" sqref="L24"/>
    </sheetView>
  </sheetViews>
  <sheetFormatPr defaultColWidth="9.140625" defaultRowHeight="12.75"/>
  <cols>
    <col min="1" max="1" width="13.140625" style="0" bestFit="1" customWidth="1"/>
    <col min="2" max="2" width="11.7109375" style="0" bestFit="1" customWidth="1"/>
    <col min="3" max="3" width="13.421875" style="0" bestFit="1" customWidth="1"/>
    <col min="4" max="4" width="8.00390625" style="0" customWidth="1"/>
    <col min="6" max="6" width="19.57421875" style="0" bestFit="1" customWidth="1"/>
    <col min="7" max="7" width="12.28125" style="0" customWidth="1"/>
    <col min="8" max="8" width="12.8515625" style="0" bestFit="1" customWidth="1"/>
    <col min="9" max="9" width="10.28125" style="0" bestFit="1" customWidth="1"/>
    <col min="11" max="11" width="11.57421875" style="0" bestFit="1" customWidth="1"/>
    <col min="12" max="12" width="12.28125" style="0" bestFit="1" customWidth="1"/>
    <col min="13" max="13" width="9.28125" style="0" bestFit="1" customWidth="1"/>
    <col min="14" max="14" width="14.421875" style="0" customWidth="1"/>
    <col min="15" max="15" width="10.28125" style="0" bestFit="1" customWidth="1"/>
    <col min="16" max="16" width="9.28125" style="0" bestFit="1" customWidth="1"/>
    <col min="17" max="17" width="11.57421875" style="0" bestFit="1" customWidth="1"/>
    <col min="18" max="18" width="9.28125" style="0" bestFit="1" customWidth="1"/>
    <col min="19" max="19" width="11.421875" style="0" bestFit="1" customWidth="1"/>
  </cols>
  <sheetData>
    <row r="1" spans="1:8" ht="15">
      <c r="A1" s="252">
        <v>42552</v>
      </c>
      <c r="B1" s="5"/>
      <c r="F1" s="5"/>
      <c r="G1" s="43"/>
      <c r="H1" s="90"/>
    </row>
    <row r="2" spans="1:8" ht="15">
      <c r="A2" s="5" t="s">
        <v>0</v>
      </c>
      <c r="B2" s="5"/>
      <c r="C2" s="5"/>
      <c r="D2" s="5"/>
      <c r="F2" s="5"/>
      <c r="G2" s="43"/>
      <c r="H2" s="4">
        <f>A15</f>
        <v>8410</v>
      </c>
    </row>
    <row r="3" spans="1:7" ht="15">
      <c r="A3" s="23"/>
      <c r="F3" s="5"/>
      <c r="G3" s="23"/>
    </row>
    <row r="4" spans="1:21" ht="15">
      <c r="A4" s="231">
        <v>1935</v>
      </c>
      <c r="B4" t="s">
        <v>2</v>
      </c>
      <c r="E4" s="126"/>
      <c r="F4" s="172" t="s">
        <v>3</v>
      </c>
      <c r="G4" s="206"/>
      <c r="H4" s="90"/>
      <c r="T4" s="27"/>
      <c r="U4" s="26"/>
    </row>
    <row r="5" spans="1:18" ht="15.75">
      <c r="A5" s="23"/>
      <c r="E5" s="160"/>
      <c r="F5" s="174"/>
      <c r="G5" s="196"/>
      <c r="H5" s="4">
        <f>H2-G5</f>
        <v>8410</v>
      </c>
      <c r="Q5" s="144"/>
      <c r="R5" s="51"/>
    </row>
    <row r="6" spans="1:18" ht="15.75">
      <c r="A6" s="176">
        <v>296</v>
      </c>
      <c r="B6" t="s">
        <v>4</v>
      </c>
      <c r="E6" s="160">
        <v>43283</v>
      </c>
      <c r="F6" s="174" t="s">
        <v>5</v>
      </c>
      <c r="G6" s="175">
        <v>1174</v>
      </c>
      <c r="H6" s="4">
        <f aca="true" t="shared" si="0" ref="H6:H14">H5-G6</f>
        <v>7236</v>
      </c>
      <c r="I6" t="s">
        <v>6</v>
      </c>
      <c r="K6" s="175"/>
      <c r="Q6" s="193"/>
      <c r="R6" s="59"/>
    </row>
    <row r="7" spans="1:19" ht="18">
      <c r="A7" s="104">
        <v>1375</v>
      </c>
      <c r="B7" s="5" t="s">
        <v>9</v>
      </c>
      <c r="C7" s="5"/>
      <c r="D7" s="5"/>
      <c r="E7" s="160">
        <v>43291</v>
      </c>
      <c r="F7" s="174" t="s">
        <v>10</v>
      </c>
      <c r="G7" s="177">
        <v>224.5</v>
      </c>
      <c r="H7" s="4">
        <f t="shared" si="0"/>
        <v>7011.5</v>
      </c>
      <c r="I7" t="s">
        <v>330</v>
      </c>
      <c r="K7" s="177"/>
      <c r="L7" s="263" t="s">
        <v>75</v>
      </c>
      <c r="M7" s="263"/>
      <c r="N7" s="263"/>
      <c r="O7" s="22"/>
      <c r="P7" s="273" t="s">
        <v>363</v>
      </c>
      <c r="Q7" s="187"/>
      <c r="R7" s="219"/>
      <c r="S7" t="s">
        <v>353</v>
      </c>
    </row>
    <row r="8" spans="1:18" ht="15.75">
      <c r="A8" s="106">
        <v>296</v>
      </c>
      <c r="B8" s="5" t="s">
        <v>11</v>
      </c>
      <c r="C8" s="5"/>
      <c r="D8" s="5"/>
      <c r="E8" s="160">
        <v>43311</v>
      </c>
      <c r="F8" s="174" t="s">
        <v>12</v>
      </c>
      <c r="G8" s="178">
        <v>130</v>
      </c>
      <c r="H8" s="4">
        <f t="shared" si="0"/>
        <v>6881.5</v>
      </c>
      <c r="I8" t="s">
        <v>6</v>
      </c>
      <c r="K8" s="178"/>
      <c r="P8" s="178" t="s">
        <v>22</v>
      </c>
      <c r="Q8" s="178" t="s">
        <v>63</v>
      </c>
      <c r="R8" s="27"/>
    </row>
    <row r="9" spans="1:18" ht="15.75">
      <c r="A9" s="106">
        <v>1098</v>
      </c>
      <c r="B9" s="5" t="s">
        <v>13</v>
      </c>
      <c r="C9" s="128"/>
      <c r="D9" s="514"/>
      <c r="E9" s="160">
        <v>43286</v>
      </c>
      <c r="F9" s="174" t="s">
        <v>15</v>
      </c>
      <c r="G9" s="177">
        <v>238</v>
      </c>
      <c r="H9" s="4">
        <f t="shared" si="0"/>
        <v>6643.5</v>
      </c>
      <c r="I9" s="503" t="s">
        <v>337</v>
      </c>
      <c r="K9" s="177"/>
      <c r="L9" s="274" t="s">
        <v>76</v>
      </c>
      <c r="M9" s="275"/>
      <c r="N9" s="276"/>
      <c r="O9" s="22">
        <v>43290</v>
      </c>
      <c r="P9" s="178" t="s">
        <v>26</v>
      </c>
      <c r="Q9" s="89"/>
      <c r="R9" s="27"/>
    </row>
    <row r="10" spans="1:18" ht="15.75">
      <c r="A10" s="106">
        <v>2246</v>
      </c>
      <c r="B10" s="5" t="s">
        <v>16</v>
      </c>
      <c r="C10" s="5"/>
      <c r="D10" s="5"/>
      <c r="E10" s="160"/>
      <c r="F10" s="174" t="s">
        <v>17</v>
      </c>
      <c r="G10" s="178"/>
      <c r="H10" s="4">
        <f t="shared" si="0"/>
        <v>6643.5</v>
      </c>
      <c r="K10" s="178"/>
      <c r="O10" s="13"/>
      <c r="P10" s="277" t="s">
        <v>29</v>
      </c>
      <c r="Q10" s="89"/>
      <c r="R10" s="26"/>
    </row>
    <row r="11" spans="1:18" ht="15.75">
      <c r="A11" s="104">
        <v>1164</v>
      </c>
      <c r="B11" s="5" t="s">
        <v>71</v>
      </c>
      <c r="C11" s="5"/>
      <c r="D11" s="5"/>
      <c r="E11" s="160">
        <v>43292</v>
      </c>
      <c r="F11" s="174" t="s">
        <v>19</v>
      </c>
      <c r="G11" s="178">
        <v>100</v>
      </c>
      <c r="H11" s="4">
        <f t="shared" si="0"/>
        <v>6543.5</v>
      </c>
      <c r="I11" s="504" t="s">
        <v>345</v>
      </c>
      <c r="K11" s="178"/>
      <c r="O11" s="33"/>
      <c r="P11" s="178" t="s">
        <v>31</v>
      </c>
      <c r="Q11" s="178"/>
      <c r="R11" s="26"/>
    </row>
    <row r="12" spans="1:18" ht="15.75">
      <c r="A12" s="234"/>
      <c r="B12" s="5"/>
      <c r="C12" s="5"/>
      <c r="D12" s="5"/>
      <c r="E12" s="160"/>
      <c r="F12" s="174" t="s">
        <v>21</v>
      </c>
      <c r="G12" s="177"/>
      <c r="H12" s="4">
        <f t="shared" si="0"/>
        <v>6543.5</v>
      </c>
      <c r="I12" s="33"/>
      <c r="K12" s="177"/>
      <c r="O12" s="13"/>
      <c r="Q12" s="55"/>
      <c r="R12" s="51"/>
    </row>
    <row r="13" spans="1:18" ht="15.75">
      <c r="A13" s="106"/>
      <c r="B13" s="181" t="s">
        <v>72</v>
      </c>
      <c r="C13" s="48"/>
      <c r="D13" s="48"/>
      <c r="E13" s="256">
        <v>43306</v>
      </c>
      <c r="F13" s="174" t="s">
        <v>24</v>
      </c>
      <c r="G13" s="177">
        <v>50</v>
      </c>
      <c r="H13" s="4">
        <f t="shared" si="0"/>
        <v>6493.5</v>
      </c>
      <c r="I13" s="504" t="s">
        <v>348</v>
      </c>
      <c r="K13" s="177"/>
      <c r="Q13" s="55"/>
      <c r="R13" s="51"/>
    </row>
    <row r="14" spans="1:18" ht="15.75">
      <c r="A14" s="235"/>
      <c r="B14" s="183" t="s">
        <v>72</v>
      </c>
      <c r="C14" s="269"/>
      <c r="D14" s="269"/>
      <c r="E14" s="256">
        <v>43286</v>
      </c>
      <c r="F14" s="174" t="s">
        <v>28</v>
      </c>
      <c r="G14" s="175">
        <v>79</v>
      </c>
      <c r="H14" s="4">
        <f t="shared" si="0"/>
        <v>6414.5</v>
      </c>
      <c r="I14" t="s">
        <v>6</v>
      </c>
      <c r="K14" s="175"/>
      <c r="Q14" s="123"/>
      <c r="R14" s="51"/>
    </row>
    <row r="15" spans="1:18" ht="15.75">
      <c r="A15" s="72">
        <f>SUM(A4:A14)</f>
        <v>8410</v>
      </c>
      <c r="E15" s="160">
        <v>43297</v>
      </c>
      <c r="F15" s="174" t="s">
        <v>30</v>
      </c>
      <c r="G15" s="178">
        <v>2006</v>
      </c>
      <c r="H15" s="4">
        <f aca="true" t="shared" si="1" ref="H15:H24">H14-G15</f>
        <v>4408.5</v>
      </c>
      <c r="I15" s="128" t="s">
        <v>332</v>
      </c>
      <c r="K15" s="178"/>
      <c r="O15" s="43"/>
      <c r="Q15" s="123"/>
      <c r="R15" s="51"/>
    </row>
    <row r="16" spans="1:18" ht="15.75">
      <c r="A16" s="23"/>
      <c r="B16" s="50" t="s">
        <v>338</v>
      </c>
      <c r="E16" s="160">
        <v>43304</v>
      </c>
      <c r="F16" s="186" t="s">
        <v>32</v>
      </c>
      <c r="G16" s="178">
        <v>500</v>
      </c>
      <c r="H16" s="4">
        <f t="shared" si="1"/>
        <v>3908.5</v>
      </c>
      <c r="I16" s="503" t="s">
        <v>343</v>
      </c>
      <c r="K16" s="178"/>
      <c r="L16" s="193"/>
      <c r="M16" s="126"/>
      <c r="N16" s="126"/>
      <c r="O16" s="126"/>
      <c r="Q16" s="123"/>
      <c r="R16" s="51"/>
    </row>
    <row r="17" spans="1:19" ht="15.75">
      <c r="A17" s="23"/>
      <c r="B17" s="28"/>
      <c r="E17" s="160">
        <v>43290</v>
      </c>
      <c r="F17" s="174" t="s">
        <v>33</v>
      </c>
      <c r="G17" s="187">
        <v>700</v>
      </c>
      <c r="H17" s="4">
        <f t="shared" si="1"/>
        <v>3208.5</v>
      </c>
      <c r="I17" t="s">
        <v>329</v>
      </c>
      <c r="J17" s="132"/>
      <c r="K17" s="187"/>
      <c r="L17" s="193"/>
      <c r="M17" s="126"/>
      <c r="N17" s="126"/>
      <c r="O17" s="278" t="s">
        <v>70</v>
      </c>
      <c r="P17" s="26"/>
      <c r="Q17" s="123"/>
      <c r="R17" s="144">
        <v>75</v>
      </c>
      <c r="S17" t="s">
        <v>322</v>
      </c>
    </row>
    <row r="18" spans="2:19" ht="15.75">
      <c r="B18" s="28"/>
      <c r="E18" s="160"/>
      <c r="F18" s="174" t="s">
        <v>34</v>
      </c>
      <c r="G18" s="188"/>
      <c r="H18" s="4">
        <f t="shared" si="1"/>
        <v>3208.5</v>
      </c>
      <c r="K18" s="188"/>
      <c r="L18" s="279"/>
      <c r="M18" s="279"/>
      <c r="O18" s="27">
        <v>95.99</v>
      </c>
      <c r="P18" s="26" t="s">
        <v>45</v>
      </c>
      <c r="Q18" s="123"/>
      <c r="R18" s="144">
        <v>496</v>
      </c>
      <c r="S18" t="s">
        <v>323</v>
      </c>
    </row>
    <row r="19" spans="2:19" ht="15.75">
      <c r="B19" s="43"/>
      <c r="E19" s="160">
        <v>43286</v>
      </c>
      <c r="F19" s="189" t="s">
        <v>35</v>
      </c>
      <c r="G19" s="175">
        <v>189</v>
      </c>
      <c r="H19" s="4">
        <f t="shared" si="1"/>
        <v>3019.5</v>
      </c>
      <c r="I19" t="s">
        <v>6</v>
      </c>
      <c r="K19" s="175"/>
      <c r="O19" s="27">
        <v>14.31</v>
      </c>
      <c r="P19" s="28" t="s">
        <v>341</v>
      </c>
      <c r="Q19" s="123"/>
      <c r="R19" s="144">
        <v>418</v>
      </c>
      <c r="S19" t="s">
        <v>324</v>
      </c>
    </row>
    <row r="20" spans="1:19" ht="15.75">
      <c r="A20" s="132"/>
      <c r="B20" s="270"/>
      <c r="C20" s="270"/>
      <c r="D20" s="270"/>
      <c r="E20" s="160"/>
      <c r="F20" s="191" t="s">
        <v>37</v>
      </c>
      <c r="G20" s="177"/>
      <c r="H20" s="4">
        <f t="shared" si="1"/>
        <v>3019.5</v>
      </c>
      <c r="I20" s="99"/>
      <c r="K20" s="177">
        <v>500</v>
      </c>
      <c r="O20" s="27">
        <v>69.99</v>
      </c>
      <c r="P20" s="26" t="s">
        <v>351</v>
      </c>
      <c r="Q20" s="123"/>
      <c r="R20" s="125">
        <v>50</v>
      </c>
      <c r="S20" t="s">
        <v>59</v>
      </c>
    </row>
    <row r="21" spans="2:19" ht="15.75">
      <c r="B21" s="43"/>
      <c r="E21" s="190"/>
      <c r="F21" s="271" t="s">
        <v>38</v>
      </c>
      <c r="G21" s="193">
        <f>O32</f>
        <v>249.29999999999998</v>
      </c>
      <c r="H21" s="4">
        <f t="shared" si="1"/>
        <v>2770.2</v>
      </c>
      <c r="I21" s="97"/>
      <c r="K21" s="193"/>
      <c r="O21" s="27">
        <v>11.28</v>
      </c>
      <c r="P21" s="26" t="s">
        <v>275</v>
      </c>
      <c r="Q21" s="55"/>
      <c r="R21" s="125">
        <v>546</v>
      </c>
      <c r="S21" t="s">
        <v>333</v>
      </c>
    </row>
    <row r="22" spans="2:19" ht="15.75">
      <c r="B22" s="43" t="s">
        <v>342</v>
      </c>
      <c r="E22" s="160">
        <v>43308</v>
      </c>
      <c r="F22" s="189" t="s">
        <v>206</v>
      </c>
      <c r="G22" s="193">
        <v>430</v>
      </c>
      <c r="H22" s="4">
        <f t="shared" si="1"/>
        <v>2340.2</v>
      </c>
      <c r="I22" s="516" t="s">
        <v>348</v>
      </c>
      <c r="K22" s="193"/>
      <c r="O22" s="27">
        <v>1.29</v>
      </c>
      <c r="P22" s="26" t="s">
        <v>313</v>
      </c>
      <c r="Q22" s="123"/>
      <c r="R22" s="144">
        <v>488</v>
      </c>
      <c r="S22" t="s">
        <v>334</v>
      </c>
    </row>
    <row r="23" spans="2:18" ht="15.75">
      <c r="B23" s="42">
        <f>A10*0.0213</f>
        <v>47.8398</v>
      </c>
      <c r="E23" s="160">
        <v>43294</v>
      </c>
      <c r="F23" s="50" t="s">
        <v>352</v>
      </c>
      <c r="G23" s="123">
        <v>47.11</v>
      </c>
      <c r="H23" s="4">
        <f t="shared" si="1"/>
        <v>2293.0899999999997</v>
      </c>
      <c r="I23" s="152" t="s">
        <v>201</v>
      </c>
      <c r="K23" s="280"/>
      <c r="O23" s="27">
        <v>2.1</v>
      </c>
      <c r="P23" s="26">
        <v>711</v>
      </c>
      <c r="Q23" s="123"/>
      <c r="R23" s="23">
        <f>SUM(R17:R22)</f>
        <v>2073</v>
      </c>
    </row>
    <row r="24" spans="2:17" ht="15">
      <c r="B24" s="42">
        <f>A10</f>
        <v>2246</v>
      </c>
      <c r="E24" s="272">
        <v>43307</v>
      </c>
      <c r="F24" s="33" t="s">
        <v>358</v>
      </c>
      <c r="G24" s="123">
        <v>200</v>
      </c>
      <c r="H24" s="4">
        <f t="shared" si="1"/>
        <v>2093.0899999999997</v>
      </c>
      <c r="I24" s="152" t="s">
        <v>201</v>
      </c>
      <c r="J24" s="281"/>
      <c r="K24" s="123"/>
      <c r="O24" s="27">
        <v>24.87</v>
      </c>
      <c r="P24" s="26" t="s">
        <v>354</v>
      </c>
      <c r="Q24" s="123"/>
    </row>
    <row r="25" spans="1:17" ht="15">
      <c r="A25" s="5"/>
      <c r="B25" s="507">
        <f>SUM(B23:B24)</f>
        <v>2293.8398</v>
      </c>
      <c r="C25" s="7"/>
      <c r="D25" s="7"/>
      <c r="E25" s="190"/>
      <c r="F25" s="5"/>
      <c r="G25" s="4"/>
      <c r="H25" s="4"/>
      <c r="I25" s="5"/>
      <c r="J25" s="261"/>
      <c r="K25" s="259"/>
      <c r="L25" s="4"/>
      <c r="M25" s="5"/>
      <c r="N25" s="5"/>
      <c r="O25" s="27">
        <v>7.72</v>
      </c>
      <c r="P25" s="26" t="s">
        <v>355</v>
      </c>
      <c r="Q25" s="4"/>
    </row>
    <row r="26" spans="1:17" ht="15">
      <c r="A26" s="5"/>
      <c r="B26" s="33"/>
      <c r="C26" s="5"/>
      <c r="D26" s="5"/>
      <c r="E26" s="190"/>
      <c r="F26" s="5"/>
      <c r="G26" s="4"/>
      <c r="H26" s="4"/>
      <c r="I26" s="5"/>
      <c r="J26" s="5"/>
      <c r="K26" s="282"/>
      <c r="L26" s="5"/>
      <c r="M26" s="5"/>
      <c r="N26" s="7"/>
      <c r="O26" s="27">
        <v>21.75</v>
      </c>
      <c r="P26" s="27" t="s">
        <v>359</v>
      </c>
      <c r="Q26" s="5"/>
    </row>
    <row r="27" spans="1:17" ht="15">
      <c r="A27" s="5"/>
      <c r="B27" s="23">
        <f>A6*0.0213</f>
        <v>6.3048</v>
      </c>
      <c r="C27" s="5"/>
      <c r="D27" s="5"/>
      <c r="E27" s="50"/>
      <c r="F27" s="5"/>
      <c r="G27" s="4"/>
      <c r="H27" s="4"/>
      <c r="I27" s="5"/>
      <c r="J27" s="5"/>
      <c r="K27" s="282"/>
      <c r="L27" s="7"/>
      <c r="M27" s="7"/>
      <c r="N27" s="5"/>
      <c r="O27" s="27"/>
      <c r="P27" s="26"/>
      <c r="Q27" s="7"/>
    </row>
    <row r="28" spans="1:16" ht="15">
      <c r="A28" s="5"/>
      <c r="B28" s="23">
        <v>298</v>
      </c>
      <c r="C28" s="5"/>
      <c r="D28" s="5"/>
      <c r="E28" s="50"/>
      <c r="F28" s="5"/>
      <c r="G28" s="4"/>
      <c r="H28" s="5"/>
      <c r="I28" s="5"/>
      <c r="J28" s="5"/>
      <c r="K28" s="157"/>
      <c r="L28" s="7"/>
      <c r="M28" s="5"/>
      <c r="N28" s="5"/>
      <c r="O28" s="27"/>
      <c r="P28" s="26"/>
    </row>
    <row r="29" spans="1:17" ht="15">
      <c r="A29" s="5"/>
      <c r="B29" s="226">
        <f>SUM(B27:B28)</f>
        <v>304.3048</v>
      </c>
      <c r="C29" s="5"/>
      <c r="D29" s="5"/>
      <c r="E29" s="50"/>
      <c r="F29" s="5"/>
      <c r="G29" s="4"/>
      <c r="H29" s="5"/>
      <c r="I29" s="5"/>
      <c r="J29" s="5"/>
      <c r="K29" s="157"/>
      <c r="L29" s="7"/>
      <c r="M29" s="5"/>
      <c r="N29" s="5"/>
      <c r="O29" s="28"/>
      <c r="P29" s="26"/>
      <c r="Q29" s="13"/>
    </row>
    <row r="30" spans="7:16" ht="15">
      <c r="G30" s="23"/>
      <c r="K30" s="283"/>
      <c r="O30" s="26"/>
      <c r="P30" s="26"/>
    </row>
    <row r="31" spans="7:16" ht="12.75">
      <c r="G31" s="23"/>
      <c r="O31" s="26"/>
      <c r="P31" s="26"/>
    </row>
    <row r="32" spans="15:16" ht="12.75">
      <c r="O32" s="28">
        <f>SUM(O18:O31)</f>
        <v>249.29999999999998</v>
      </c>
      <c r="P32" s="26"/>
    </row>
    <row r="37" ht="12.75">
      <c r="M37" s="23"/>
    </row>
  </sheetData>
  <sheetProtection/>
  <hyperlinks>
    <hyperlink ref="P10" r:id="rId1" display="wfwatw@gmail.com"/>
  </hyperlinks>
  <printOptions/>
  <pageMargins left="0.75" right="0.75" top="1" bottom="1" header="0.5" footer="0.5"/>
  <pageSetup horizontalDpi="300" verticalDpi="3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16.421875" style="0" bestFit="1" customWidth="1"/>
    <col min="2" max="2" width="11.7109375" style="0" bestFit="1" customWidth="1"/>
    <col min="3" max="3" width="11.57421875" style="0" bestFit="1" customWidth="1"/>
    <col min="5" max="5" width="19.8515625" style="0" bestFit="1" customWidth="1"/>
    <col min="6" max="6" width="11.57421875" style="0" bestFit="1" customWidth="1"/>
    <col min="7" max="7" width="12.8515625" style="0" bestFit="1" customWidth="1"/>
    <col min="9" max="9" width="12.7109375" style="0" bestFit="1" customWidth="1"/>
    <col min="10" max="10" width="12.7109375" style="0" customWidth="1"/>
    <col min="12" max="12" width="9.28125" style="0" bestFit="1" customWidth="1"/>
    <col min="13" max="13" width="14.00390625" style="0" bestFit="1" customWidth="1"/>
    <col min="14" max="14" width="9.28125" style="0" bestFit="1" customWidth="1"/>
    <col min="17" max="17" width="9.7109375" style="0" bestFit="1" customWidth="1"/>
    <col min="19" max="20" width="9.28125" style="0" bestFit="1" customWidth="1"/>
    <col min="21" max="21" width="11.57421875" style="0" bestFit="1" customWidth="1"/>
    <col min="29" max="29" width="9.28125" style="0" bestFit="1" customWidth="1"/>
  </cols>
  <sheetData>
    <row r="1" spans="1:29" ht="15">
      <c r="A1" s="252">
        <v>42583</v>
      </c>
      <c r="AC1" s="23">
        <v>6.33</v>
      </c>
    </row>
    <row r="2" spans="1:29" ht="15">
      <c r="A2" s="5" t="s">
        <v>0</v>
      </c>
      <c r="B2" s="5"/>
      <c r="C2" s="5"/>
      <c r="E2" s="5"/>
      <c r="F2" s="43"/>
      <c r="G2" s="4">
        <f>A17</f>
        <v>9043</v>
      </c>
      <c r="AC2" s="23">
        <v>13.09</v>
      </c>
    </row>
    <row r="3" spans="1:29" ht="15">
      <c r="A3" s="253">
        <v>42948</v>
      </c>
      <c r="E3" s="5"/>
      <c r="F3" s="23"/>
      <c r="M3" t="s">
        <v>160</v>
      </c>
      <c r="AC3" s="23">
        <v>26.16</v>
      </c>
    </row>
    <row r="4" spans="1:29" ht="15">
      <c r="A4" s="231">
        <v>2093</v>
      </c>
      <c r="B4" t="s">
        <v>2</v>
      </c>
      <c r="D4" s="126"/>
      <c r="E4" s="172" t="s">
        <v>3</v>
      </c>
      <c r="F4" s="206"/>
      <c r="G4" s="90"/>
      <c r="H4" s="22"/>
      <c r="AC4" s="23">
        <v>14.2</v>
      </c>
    </row>
    <row r="5" spans="1:29" ht="15.75">
      <c r="A5" s="23"/>
      <c r="D5" s="160"/>
      <c r="E5" s="174"/>
      <c r="F5" s="196"/>
      <c r="G5" s="4">
        <f>G2-F5</f>
        <v>9043</v>
      </c>
      <c r="H5" s="48"/>
      <c r="T5" s="27"/>
      <c r="U5" s="26"/>
      <c r="AC5" s="23">
        <v>14.95</v>
      </c>
    </row>
    <row r="6" spans="1:29" ht="15.75">
      <c r="A6" s="176">
        <v>302</v>
      </c>
      <c r="B6" t="s">
        <v>4</v>
      </c>
      <c r="D6" s="160">
        <v>43313</v>
      </c>
      <c r="E6" s="174" t="s">
        <v>5</v>
      </c>
      <c r="F6" s="175">
        <v>1174</v>
      </c>
      <c r="G6" s="4">
        <f>G5-F6</f>
        <v>7869</v>
      </c>
      <c r="H6" s="48" t="s">
        <v>6</v>
      </c>
      <c r="J6" s="175"/>
      <c r="Q6" s="193"/>
      <c r="R6" s="51"/>
      <c r="AC6" s="23">
        <v>9.34</v>
      </c>
    </row>
    <row r="7" spans="1:29" ht="15.75">
      <c r="A7" s="104">
        <v>1375</v>
      </c>
      <c r="B7" s="5" t="s">
        <v>9</v>
      </c>
      <c r="C7" s="527">
        <v>43329</v>
      </c>
      <c r="D7" s="160">
        <v>43322</v>
      </c>
      <c r="E7" s="174" t="s">
        <v>10</v>
      </c>
      <c r="F7" s="177">
        <v>224.5</v>
      </c>
      <c r="G7" s="4">
        <f aca="true" t="shared" si="0" ref="G7:G26">G6-F7</f>
        <v>7644.5</v>
      </c>
      <c r="H7" s="254" t="s">
        <v>367</v>
      </c>
      <c r="J7" s="177"/>
      <c r="Q7" s="265"/>
      <c r="R7" s="59"/>
      <c r="AC7" s="23">
        <v>30.28</v>
      </c>
    </row>
    <row r="8" spans="1:29" ht="15.75">
      <c r="A8" s="106">
        <v>296</v>
      </c>
      <c r="B8" s="5" t="s">
        <v>11</v>
      </c>
      <c r="C8" s="5"/>
      <c r="D8" s="160">
        <v>43340</v>
      </c>
      <c r="E8" s="174" t="s">
        <v>12</v>
      </c>
      <c r="F8" s="178">
        <v>139</v>
      </c>
      <c r="G8" s="4">
        <f t="shared" si="0"/>
        <v>7505.5</v>
      </c>
      <c r="H8" s="254" t="s">
        <v>6</v>
      </c>
      <c r="J8" s="178">
        <v>130</v>
      </c>
      <c r="Q8" s="193"/>
      <c r="R8" s="126"/>
      <c r="T8" s="13"/>
      <c r="AC8" s="23">
        <v>14.53</v>
      </c>
    </row>
    <row r="9" spans="1:29" ht="15.75">
      <c r="A9" s="106"/>
      <c r="B9" s="5"/>
      <c r="C9" s="5"/>
      <c r="D9" s="160"/>
      <c r="E9" s="174"/>
      <c r="F9" s="177"/>
      <c r="G9" s="4">
        <f t="shared" si="0"/>
        <v>7505.5</v>
      </c>
      <c r="H9" s="254"/>
      <c r="J9" s="177"/>
      <c r="Q9" s="265"/>
      <c r="R9" s="148"/>
      <c r="AC9" s="23">
        <v>164.95</v>
      </c>
    </row>
    <row r="10" spans="1:29" ht="15.75">
      <c r="A10" s="233">
        <v>598</v>
      </c>
      <c r="B10" s="5" t="s">
        <v>13</v>
      </c>
      <c r="C10" s="128" t="s">
        <v>77</v>
      </c>
      <c r="D10" s="160">
        <v>43314</v>
      </c>
      <c r="E10" s="174" t="s">
        <v>15</v>
      </c>
      <c r="F10" s="177">
        <v>274</v>
      </c>
      <c r="G10" s="4">
        <f t="shared" si="0"/>
        <v>7231.5</v>
      </c>
      <c r="H10" s="255" t="s">
        <v>362</v>
      </c>
      <c r="J10" s="177"/>
      <c r="Q10" s="265"/>
      <c r="R10" s="51"/>
      <c r="AC10" s="23">
        <v>54.75</v>
      </c>
    </row>
    <row r="11" spans="1:29" ht="15.75">
      <c r="A11" s="106">
        <v>2289</v>
      </c>
      <c r="B11" s="5" t="s">
        <v>16</v>
      </c>
      <c r="C11" s="5"/>
      <c r="D11" s="160">
        <v>43314</v>
      </c>
      <c r="E11" s="174" t="s">
        <v>17</v>
      </c>
      <c r="F11" s="178">
        <v>149.45</v>
      </c>
      <c r="G11" s="4">
        <f t="shared" si="0"/>
        <v>7082.05</v>
      </c>
      <c r="H11" s="515" t="s">
        <v>362</v>
      </c>
      <c r="J11" s="178"/>
      <c r="L11" s="29"/>
      <c r="M11" s="29"/>
      <c r="N11" s="29"/>
      <c r="Q11" s="193"/>
      <c r="R11" s="51"/>
      <c r="AC11" s="23">
        <v>2.99</v>
      </c>
    </row>
    <row r="12" spans="1:29" ht="15.75">
      <c r="A12" s="104">
        <v>465</v>
      </c>
      <c r="B12" s="5" t="s">
        <v>71</v>
      </c>
      <c r="C12" s="5"/>
      <c r="D12" s="160">
        <v>43329</v>
      </c>
      <c r="E12" s="174" t="s">
        <v>19</v>
      </c>
      <c r="F12" s="178">
        <v>100</v>
      </c>
      <c r="G12" s="4">
        <f t="shared" si="0"/>
        <v>6982.05</v>
      </c>
      <c r="H12" s="526" t="s">
        <v>377</v>
      </c>
      <c r="J12" s="178"/>
      <c r="Q12" s="193"/>
      <c r="R12" s="51"/>
      <c r="AC12" s="23">
        <v>2.99</v>
      </c>
    </row>
    <row r="13" spans="1:29" ht="15.75">
      <c r="A13" s="234"/>
      <c r="B13" s="5" t="s">
        <v>27</v>
      </c>
      <c r="C13" s="5"/>
      <c r="D13" s="160">
        <v>43334</v>
      </c>
      <c r="E13" s="174" t="s">
        <v>21</v>
      </c>
      <c r="F13" s="177">
        <v>102.43</v>
      </c>
      <c r="G13" s="4">
        <f t="shared" si="0"/>
        <v>6879.62</v>
      </c>
      <c r="H13" s="523" t="s">
        <v>373</v>
      </c>
      <c r="J13" s="177"/>
      <c r="L13" s="29" t="s">
        <v>78</v>
      </c>
      <c r="M13" s="29"/>
      <c r="N13" s="29"/>
      <c r="O13" s="29"/>
      <c r="P13" s="525" t="s">
        <v>375</v>
      </c>
      <c r="Q13" s="517"/>
      <c r="R13" s="51"/>
      <c r="AC13" s="23">
        <v>4</v>
      </c>
    </row>
    <row r="14" spans="1:29" ht="15.75">
      <c r="A14" s="106">
        <v>1400</v>
      </c>
      <c r="B14" s="519" t="s">
        <v>360</v>
      </c>
      <c r="C14" s="520"/>
      <c r="D14" s="256">
        <v>43314</v>
      </c>
      <c r="E14" s="174" t="s">
        <v>24</v>
      </c>
      <c r="F14" s="177">
        <v>54.94</v>
      </c>
      <c r="G14" s="4">
        <f t="shared" si="0"/>
        <v>6824.68</v>
      </c>
      <c r="H14" s="254" t="s">
        <v>366</v>
      </c>
      <c r="J14" s="177"/>
      <c r="L14" s="263" t="s">
        <v>356</v>
      </c>
      <c r="M14" s="29"/>
      <c r="N14" s="264">
        <v>221</v>
      </c>
      <c r="O14" s="263" t="s">
        <v>79</v>
      </c>
      <c r="Q14" s="265"/>
      <c r="R14" s="51"/>
      <c r="AC14" s="23">
        <v>55.4</v>
      </c>
    </row>
    <row r="15" spans="1:29" ht="15.75">
      <c r="A15" s="257">
        <v>225</v>
      </c>
      <c r="B15" s="522" t="s">
        <v>368</v>
      </c>
      <c r="C15" s="50"/>
      <c r="D15" s="256">
        <v>43318</v>
      </c>
      <c r="E15" s="174" t="s">
        <v>28</v>
      </c>
      <c r="F15" s="175">
        <v>79</v>
      </c>
      <c r="G15" s="4">
        <f t="shared" si="0"/>
        <v>6745.68</v>
      </c>
      <c r="H15" s="254" t="s">
        <v>6</v>
      </c>
      <c r="J15" s="175"/>
      <c r="L15" s="29" t="s">
        <v>376</v>
      </c>
      <c r="M15" s="29"/>
      <c r="N15" s="29"/>
      <c r="O15" s="29"/>
      <c r="Q15" s="193"/>
      <c r="R15" s="51"/>
      <c r="AC15" s="23">
        <v>26.63</v>
      </c>
    </row>
    <row r="16" spans="1:29" ht="15.75">
      <c r="A16" s="106"/>
      <c r="B16" s="5" t="s">
        <v>368</v>
      </c>
      <c r="C16" s="131"/>
      <c r="D16" s="256">
        <v>43334</v>
      </c>
      <c r="E16" s="174" t="s">
        <v>24</v>
      </c>
      <c r="F16" s="175">
        <v>54.94</v>
      </c>
      <c r="G16" s="4">
        <f t="shared" si="0"/>
        <v>6690.740000000001</v>
      </c>
      <c r="H16" s="255" t="s">
        <v>379</v>
      </c>
      <c r="I16" t="s">
        <v>380</v>
      </c>
      <c r="J16" s="175"/>
      <c r="L16" s="202" t="s">
        <v>80</v>
      </c>
      <c r="M16" s="29"/>
      <c r="N16" s="29"/>
      <c r="O16" s="29"/>
      <c r="Q16" s="193"/>
      <c r="R16" s="51"/>
      <c r="AC16" s="23">
        <v>16.94</v>
      </c>
    </row>
    <row r="17" spans="1:29" ht="15.75">
      <c r="A17" s="72">
        <f>SUM(A4:A16)</f>
        <v>9043</v>
      </c>
      <c r="D17" s="160">
        <v>43234</v>
      </c>
      <c r="E17" s="174" t="s">
        <v>30</v>
      </c>
      <c r="F17" s="178">
        <v>545</v>
      </c>
      <c r="G17" s="4">
        <f t="shared" si="0"/>
        <v>6145.740000000001</v>
      </c>
      <c r="H17" s="255" t="s">
        <v>357</v>
      </c>
      <c r="J17" s="178"/>
      <c r="Q17" s="193"/>
      <c r="R17" s="51"/>
      <c r="AC17" s="23">
        <v>77.1</v>
      </c>
    </row>
    <row r="18" spans="1:29" ht="15.75">
      <c r="A18" s="23"/>
      <c r="D18" s="160">
        <v>43334</v>
      </c>
      <c r="E18" s="186" t="s">
        <v>32</v>
      </c>
      <c r="F18" s="178">
        <v>1500</v>
      </c>
      <c r="G18" s="4">
        <f t="shared" si="0"/>
        <v>4645.740000000001</v>
      </c>
      <c r="H18" s="524" t="s">
        <v>373</v>
      </c>
      <c r="I18" t="s">
        <v>347</v>
      </c>
      <c r="J18" s="178"/>
      <c r="L18" s="263" t="s">
        <v>81</v>
      </c>
      <c r="M18" s="263"/>
      <c r="N18" s="264"/>
      <c r="O18" s="263"/>
      <c r="Q18" s="193"/>
      <c r="R18" s="51"/>
      <c r="AC18" s="23">
        <v>33.14</v>
      </c>
    </row>
    <row r="19" spans="1:29" ht="15.75">
      <c r="A19" s="23"/>
      <c r="D19" s="160">
        <v>43314</v>
      </c>
      <c r="E19" s="174" t="s">
        <v>33</v>
      </c>
      <c r="F19" s="187">
        <v>2000</v>
      </c>
      <c r="G19" s="4">
        <f t="shared" si="0"/>
        <v>2645.7400000000007</v>
      </c>
      <c r="H19" t="s">
        <v>362</v>
      </c>
      <c r="I19" s="254" t="s">
        <v>77</v>
      </c>
      <c r="J19" s="187"/>
      <c r="Q19" s="193"/>
      <c r="R19" s="151"/>
      <c r="AC19" s="23">
        <v>21.85</v>
      </c>
    </row>
    <row r="20" spans="3:29" ht="15.75">
      <c r="C20" s="233">
        <v>250</v>
      </c>
      <c r="D20" s="160"/>
      <c r="E20" s="174" t="s">
        <v>34</v>
      </c>
      <c r="F20" s="188"/>
      <c r="G20" s="4">
        <f t="shared" si="0"/>
        <v>2645.7400000000007</v>
      </c>
      <c r="H20" s="254"/>
      <c r="J20" s="188"/>
      <c r="L20" s="241"/>
      <c r="M20" s="132"/>
      <c r="N20" s="132"/>
      <c r="O20" s="132"/>
      <c r="Q20" s="193"/>
      <c r="R20" s="51"/>
      <c r="AC20" s="23">
        <v>2.99</v>
      </c>
    </row>
    <row r="21" spans="1:29" ht="15.75">
      <c r="A21" s="13"/>
      <c r="B21" s="43"/>
      <c r="C21" s="106">
        <v>1000</v>
      </c>
      <c r="D21" s="160">
        <v>43318</v>
      </c>
      <c r="E21" s="189" t="s">
        <v>35</v>
      </c>
      <c r="F21" s="175">
        <v>189</v>
      </c>
      <c r="G21" s="157">
        <f t="shared" si="0"/>
        <v>2456.7400000000007</v>
      </c>
      <c r="H21" s="254" t="s">
        <v>6</v>
      </c>
      <c r="J21" s="175"/>
      <c r="M21" s="505" t="s">
        <v>336</v>
      </c>
      <c r="N21" s="26"/>
      <c r="P21" t="s">
        <v>82</v>
      </c>
      <c r="Q21" s="193"/>
      <c r="R21" s="151"/>
      <c r="T21" s="51"/>
      <c r="U21" s="58"/>
      <c r="V21" s="51"/>
      <c r="AC21" s="23">
        <v>28.37</v>
      </c>
    </row>
    <row r="22" spans="2:29" ht="15.75">
      <c r="B22" s="43"/>
      <c r="C22" s="13">
        <f>SUM(C20:C21)</f>
        <v>1250</v>
      </c>
      <c r="D22" s="190"/>
      <c r="E22" s="191" t="s">
        <v>37</v>
      </c>
      <c r="F22" s="177"/>
      <c r="G22" s="157">
        <f t="shared" si="0"/>
        <v>2456.7400000000007</v>
      </c>
      <c r="H22" s="258"/>
      <c r="I22" s="23"/>
      <c r="J22" s="177">
        <v>600</v>
      </c>
      <c r="M22" s="452" t="s">
        <v>331</v>
      </c>
      <c r="N22" s="506" t="s">
        <v>335</v>
      </c>
      <c r="P22" s="27" t="s">
        <v>275</v>
      </c>
      <c r="Q22" s="129">
        <v>14.56</v>
      </c>
      <c r="R22" s="59"/>
      <c r="T22" s="51"/>
      <c r="U22" s="144"/>
      <c r="V22" s="51"/>
      <c r="AC22" s="23">
        <v>27.23</v>
      </c>
    </row>
    <row r="23" spans="2:29" ht="15">
      <c r="B23" s="5"/>
      <c r="C23" s="5"/>
      <c r="D23" s="232"/>
      <c r="E23" s="5" t="s">
        <v>38</v>
      </c>
      <c r="F23" s="259">
        <f>Q33</f>
        <v>261.08000000000004</v>
      </c>
      <c r="G23" s="157">
        <f t="shared" si="0"/>
        <v>2195.6600000000008</v>
      </c>
      <c r="H23" s="260"/>
      <c r="I23" s="132"/>
      <c r="J23" s="259">
        <f>U33</f>
        <v>0</v>
      </c>
      <c r="M23" s="26"/>
      <c r="N23" s="26"/>
      <c r="P23" s="27" t="s">
        <v>351</v>
      </c>
      <c r="Q23" s="129">
        <v>49.99</v>
      </c>
      <c r="R23" s="51"/>
      <c r="S23" s="13"/>
      <c r="T23" s="144"/>
      <c r="U23" s="143"/>
      <c r="V23" s="51"/>
      <c r="AC23" s="23">
        <v>4.49</v>
      </c>
    </row>
    <row r="24" spans="2:29" ht="15">
      <c r="B24" s="5"/>
      <c r="C24" s="5"/>
      <c r="D24" s="261"/>
      <c r="E24" s="521"/>
      <c r="F24" s="518"/>
      <c r="G24" s="157">
        <f t="shared" si="0"/>
        <v>2195.6600000000008</v>
      </c>
      <c r="H24" s="131"/>
      <c r="J24" s="518"/>
      <c r="M24" s="26"/>
      <c r="N24" s="26"/>
      <c r="P24" s="27" t="s">
        <v>45</v>
      </c>
      <c r="Q24" s="129">
        <v>113.09</v>
      </c>
      <c r="T24" s="144"/>
      <c r="U24" s="51"/>
      <c r="V24" s="51"/>
      <c r="AC24" s="23">
        <v>45.23</v>
      </c>
    </row>
    <row r="25" spans="4:29" ht="15">
      <c r="D25" s="22">
        <v>43314</v>
      </c>
      <c r="E25" s="50" t="s">
        <v>349</v>
      </c>
      <c r="F25" s="193">
        <v>13.27</v>
      </c>
      <c r="G25" s="157">
        <f t="shared" si="0"/>
        <v>2182.390000000001</v>
      </c>
      <c r="H25" s="131" t="s">
        <v>350</v>
      </c>
      <c r="J25" s="193"/>
      <c r="M25" s="26"/>
      <c r="N25" s="26"/>
      <c r="P25" s="27" t="s">
        <v>273</v>
      </c>
      <c r="Q25" s="266">
        <v>13.28</v>
      </c>
      <c r="T25" s="144"/>
      <c r="U25" s="144"/>
      <c r="V25" s="51"/>
      <c r="AC25" s="23">
        <v>28.44</v>
      </c>
    </row>
    <row r="26" spans="4:29" ht="16.5">
      <c r="D26" s="22">
        <v>43329</v>
      </c>
      <c r="E26" s="213" t="s">
        <v>374</v>
      </c>
      <c r="F26" s="193">
        <v>221</v>
      </c>
      <c r="G26" s="157">
        <f t="shared" si="0"/>
        <v>1961.3900000000008</v>
      </c>
      <c r="H26" t="s">
        <v>201</v>
      </c>
      <c r="J26" s="43">
        <f>SUM(J6:J25)</f>
        <v>730</v>
      </c>
      <c r="M26" s="26"/>
      <c r="N26" s="26"/>
      <c r="O26" t="s">
        <v>372</v>
      </c>
      <c r="P26" s="27" t="s">
        <v>59</v>
      </c>
      <c r="Q26" s="266">
        <v>15.8</v>
      </c>
      <c r="T26" s="144"/>
      <c r="U26" s="267"/>
      <c r="V26" s="51"/>
      <c r="AC26" s="23">
        <v>15.8</v>
      </c>
    </row>
    <row r="27" spans="4:29" ht="15.75">
      <c r="D27" s="22"/>
      <c r="E27" s="262"/>
      <c r="F27" s="193"/>
      <c r="G27" s="4"/>
      <c r="J27" s="23"/>
      <c r="P27" s="27" t="s">
        <v>273</v>
      </c>
      <c r="Q27" s="266">
        <v>7.37</v>
      </c>
      <c r="T27" s="13"/>
      <c r="AC27" s="23">
        <v>10</v>
      </c>
    </row>
    <row r="28" spans="4:29" ht="15">
      <c r="D28" s="22"/>
      <c r="E28" s="50"/>
      <c r="F28" s="193"/>
      <c r="G28" s="4"/>
      <c r="H28" s="131"/>
      <c r="J28" s="23"/>
      <c r="P28" s="27" t="s">
        <v>273</v>
      </c>
      <c r="Q28" s="26">
        <v>6.08</v>
      </c>
      <c r="AC28" s="23">
        <v>10.93</v>
      </c>
    </row>
    <row r="29" spans="4:29" ht="15">
      <c r="D29" s="22"/>
      <c r="E29" s="50"/>
      <c r="F29" s="193"/>
      <c r="G29" s="4"/>
      <c r="H29" s="131"/>
      <c r="J29" s="23">
        <v>3421</v>
      </c>
      <c r="P29" s="27" t="s">
        <v>275</v>
      </c>
      <c r="Q29" s="268">
        <v>4.59</v>
      </c>
      <c r="AC29" s="23">
        <v>13.09</v>
      </c>
    </row>
    <row r="30" spans="4:29" ht="15">
      <c r="D30" s="22"/>
      <c r="E30" s="50"/>
      <c r="F30" s="193"/>
      <c r="G30" s="4"/>
      <c r="I30" s="13"/>
      <c r="J30" s="23"/>
      <c r="K30" s="22"/>
      <c r="L30" s="23"/>
      <c r="M30">
        <f>19*16</f>
        <v>304</v>
      </c>
      <c r="N30" s="13"/>
      <c r="P30" s="216" t="s">
        <v>378</v>
      </c>
      <c r="Q30" s="26">
        <v>3.63</v>
      </c>
      <c r="AC30" s="23">
        <v>123.93</v>
      </c>
    </row>
    <row r="31" spans="10:29" ht="12.75">
      <c r="J31" s="13">
        <f>J29-J26-1098</f>
        <v>1593</v>
      </c>
      <c r="L31" s="23"/>
      <c r="P31" s="215" t="s">
        <v>314</v>
      </c>
      <c r="Q31" s="528">
        <v>24.69</v>
      </c>
      <c r="AC31" s="23">
        <v>68.85</v>
      </c>
    </row>
    <row r="32" spans="10:29" ht="12.75">
      <c r="J32" s="13"/>
      <c r="P32" s="215" t="s">
        <v>300</v>
      </c>
      <c r="Q32" s="114">
        <v>8</v>
      </c>
      <c r="AC32" s="23">
        <v>152.5</v>
      </c>
    </row>
    <row r="33" spans="17:29" ht="12.75">
      <c r="Q33" s="43">
        <f>SUM(Q22:Q32)</f>
        <v>261.08000000000004</v>
      </c>
      <c r="AC33" s="23">
        <v>131.11</v>
      </c>
    </row>
    <row r="34" ht="12.75">
      <c r="AC34" s="23">
        <v>4.13</v>
      </c>
    </row>
    <row r="35" ht="12.75">
      <c r="AC35" s="23">
        <v>36.52</v>
      </c>
    </row>
    <row r="36" ht="12.75">
      <c r="AC36" s="23">
        <v>15.04</v>
      </c>
    </row>
    <row r="37" ht="12.75">
      <c r="AC37" s="23">
        <v>51.63</v>
      </c>
    </row>
    <row r="38" ht="12.75">
      <c r="AC38" s="23">
        <v>157.72</v>
      </c>
    </row>
    <row r="39" ht="12.75">
      <c r="AC39" s="23">
        <v>1.99</v>
      </c>
    </row>
    <row r="40" ht="12.75">
      <c r="AC40" s="23">
        <v>1.99</v>
      </c>
    </row>
    <row r="41" ht="12.75">
      <c r="AC41" s="23">
        <v>2.99</v>
      </c>
    </row>
    <row r="42" ht="12.75">
      <c r="AC42" s="23" t="s">
        <v>83</v>
      </c>
    </row>
    <row r="43" ht="12.75">
      <c r="AC43" s="23"/>
    </row>
    <row r="44" ht="12.75">
      <c r="AC44" s="23"/>
    </row>
    <row r="45" ht="12.75">
      <c r="AC45" s="23"/>
    </row>
    <row r="46" ht="12.75">
      <c r="AC46" s="23">
        <f>SUM(AC1:AC45)</f>
        <v>1524.5900000000006</v>
      </c>
    </row>
  </sheetData>
  <sheetProtection/>
  <hyperlinks>
    <hyperlink ref="L16" r:id="rId1" display="www.nnins.com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4">
      <selection activeCell="K22" sqref="K22"/>
    </sheetView>
  </sheetViews>
  <sheetFormatPr defaultColWidth="9.140625" defaultRowHeight="12.75"/>
  <cols>
    <col min="1" max="1" width="6.8515625" style="0" bestFit="1" customWidth="1"/>
    <col min="2" max="2" width="14.57421875" style="0" bestFit="1" customWidth="1"/>
    <col min="3" max="3" width="11.7109375" style="0" bestFit="1" customWidth="1"/>
    <col min="4" max="4" width="9.7109375" style="0" customWidth="1"/>
    <col min="5" max="5" width="9.00390625" style="0" customWidth="1"/>
    <col min="6" max="6" width="19.8515625" style="0" bestFit="1" customWidth="1"/>
    <col min="7" max="7" width="12.140625" style="0" customWidth="1"/>
    <col min="8" max="8" width="11.57421875" style="0" bestFit="1" customWidth="1"/>
    <col min="10" max="10" width="12.28125" style="0" customWidth="1"/>
    <col min="11" max="11" width="11.57421875" style="0" bestFit="1" customWidth="1"/>
    <col min="13" max="13" width="19.140625" style="0" customWidth="1"/>
    <col min="14" max="14" width="9.8515625" style="0" bestFit="1" customWidth="1"/>
  </cols>
  <sheetData>
    <row r="1" spans="2:8" ht="15">
      <c r="B1" s="230">
        <v>42614</v>
      </c>
      <c r="C1" s="5"/>
      <c r="D1" s="5"/>
      <c r="E1" s="5"/>
      <c r="F1" s="5"/>
      <c r="G1" s="43"/>
      <c r="H1" s="90"/>
    </row>
    <row r="2" ht="15">
      <c r="F2" s="5"/>
    </row>
    <row r="3" spans="2:8" ht="15">
      <c r="B3" s="5" t="s">
        <v>0</v>
      </c>
      <c r="C3" s="5"/>
      <c r="D3" s="5"/>
      <c r="E3" s="5"/>
      <c r="F3" s="5"/>
      <c r="G3" s="43"/>
      <c r="H3" s="4">
        <f>B17</f>
        <v>9070</v>
      </c>
    </row>
    <row r="4" spans="6:20" ht="15">
      <c r="F4" s="5"/>
      <c r="H4" s="23"/>
      <c r="T4" t="s">
        <v>84</v>
      </c>
    </row>
    <row r="5" spans="2:21" ht="15">
      <c r="B5" s="231">
        <v>1961</v>
      </c>
      <c r="C5" t="s">
        <v>2</v>
      </c>
      <c r="E5" s="33"/>
      <c r="F5" s="172" t="s">
        <v>3</v>
      </c>
      <c r="G5" s="206"/>
      <c r="H5" s="4"/>
      <c r="Q5" s="242" t="s">
        <v>55</v>
      </c>
      <c r="T5" s="27">
        <v>130</v>
      </c>
      <c r="U5" s="26" t="s">
        <v>85</v>
      </c>
    </row>
    <row r="6" spans="2:18" ht="15.75">
      <c r="B6" s="23"/>
      <c r="E6" s="33"/>
      <c r="F6" s="174" t="s">
        <v>86</v>
      </c>
      <c r="G6" s="196"/>
      <c r="H6" s="4">
        <f>H3-G6</f>
        <v>9070</v>
      </c>
      <c r="Q6" s="27">
        <v>152</v>
      </c>
      <c r="R6" s="26" t="s">
        <v>87</v>
      </c>
    </row>
    <row r="7" spans="2:18" ht="15.75">
      <c r="B7" s="176">
        <v>302</v>
      </c>
      <c r="C7" t="s">
        <v>4</v>
      </c>
      <c r="E7" s="232">
        <v>43347</v>
      </c>
      <c r="F7" s="174" t="s">
        <v>5</v>
      </c>
      <c r="G7" s="175">
        <v>1174</v>
      </c>
      <c r="H7" s="4">
        <f aca="true" t="shared" si="0" ref="H7:H24">H6-G7</f>
        <v>7896</v>
      </c>
      <c r="I7" t="s">
        <v>6</v>
      </c>
      <c r="K7" s="175"/>
      <c r="Q7" s="28"/>
      <c r="R7" s="101" t="s">
        <v>88</v>
      </c>
    </row>
    <row r="8" spans="2:20" ht="15.75">
      <c r="B8" s="104">
        <v>1375</v>
      </c>
      <c r="C8" s="5" t="s">
        <v>9</v>
      </c>
      <c r="D8" s="5"/>
      <c r="E8" s="232">
        <v>43353</v>
      </c>
      <c r="F8" s="174" t="s">
        <v>10</v>
      </c>
      <c r="G8" s="177">
        <v>224.5</v>
      </c>
      <c r="H8" s="4">
        <f t="shared" si="0"/>
        <v>7671.5</v>
      </c>
      <c r="I8" t="s">
        <v>381</v>
      </c>
      <c r="K8" s="177"/>
      <c r="Q8" s="229">
        <f>SUM(Q5:Q7)</f>
        <v>152</v>
      </c>
      <c r="R8" s="114"/>
      <c r="T8" s="13"/>
    </row>
    <row r="9" spans="2:11" ht="15.75">
      <c r="B9" s="106">
        <v>296</v>
      </c>
      <c r="C9" s="5" t="s">
        <v>11</v>
      </c>
      <c r="D9" s="5"/>
      <c r="E9" s="232"/>
      <c r="F9" s="174" t="s">
        <v>12</v>
      </c>
      <c r="G9" s="178">
        <v>139</v>
      </c>
      <c r="H9" s="4">
        <f t="shared" si="0"/>
        <v>7532.5</v>
      </c>
      <c r="I9" t="s">
        <v>6</v>
      </c>
      <c r="K9" s="178">
        <v>139</v>
      </c>
    </row>
    <row r="10" spans="1:20" ht="15.75">
      <c r="A10" s="22">
        <v>43368</v>
      </c>
      <c r="B10" s="233">
        <v>598</v>
      </c>
      <c r="C10" s="5" t="s">
        <v>13</v>
      </c>
      <c r="D10" s="128" t="s">
        <v>326</v>
      </c>
      <c r="E10" s="232">
        <v>43348</v>
      </c>
      <c r="F10" s="174" t="s">
        <v>15</v>
      </c>
      <c r="G10" s="177">
        <v>273.19</v>
      </c>
      <c r="H10" s="4">
        <f t="shared" si="0"/>
        <v>7259.31</v>
      </c>
      <c r="I10" s="503" t="s">
        <v>385</v>
      </c>
      <c r="K10" s="177"/>
      <c r="Q10" s="52" t="s">
        <v>89</v>
      </c>
      <c r="R10" s="52" t="s">
        <v>90</v>
      </c>
      <c r="S10" s="52"/>
      <c r="T10" s="52"/>
    </row>
    <row r="11" spans="2:20" ht="15.75">
      <c r="B11" s="106">
        <v>2289</v>
      </c>
      <c r="C11" s="5" t="s">
        <v>16</v>
      </c>
      <c r="D11" s="5"/>
      <c r="E11" s="33"/>
      <c r="F11" s="174" t="s">
        <v>17</v>
      </c>
      <c r="G11" s="178"/>
      <c r="H11" s="4">
        <f t="shared" si="0"/>
        <v>7259.31</v>
      </c>
      <c r="K11" s="178"/>
      <c r="M11" s="209"/>
      <c r="N11" s="243"/>
      <c r="Q11" s="52"/>
      <c r="R11" s="47">
        <v>82</v>
      </c>
      <c r="S11" s="52"/>
      <c r="T11" s="53"/>
    </row>
    <row r="12" spans="2:20" ht="15.75">
      <c r="B12" s="104">
        <v>322</v>
      </c>
      <c r="C12" s="5" t="s">
        <v>71</v>
      </c>
      <c r="D12" s="5"/>
      <c r="E12" s="232">
        <v>43361</v>
      </c>
      <c r="F12" s="174" t="s">
        <v>19</v>
      </c>
      <c r="G12" s="178">
        <v>100</v>
      </c>
      <c r="H12" s="4">
        <f t="shared" si="0"/>
        <v>7159.31</v>
      </c>
      <c r="I12" t="s">
        <v>396</v>
      </c>
      <c r="K12" s="178"/>
      <c r="M12" s="244"/>
      <c r="N12" s="209"/>
      <c r="Q12" s="52"/>
      <c r="S12" s="47">
        <v>15.8</v>
      </c>
      <c r="T12" s="52" t="s">
        <v>82</v>
      </c>
    </row>
    <row r="13" spans="2:20" ht="15.75">
      <c r="B13" s="234"/>
      <c r="C13" s="5" t="s">
        <v>370</v>
      </c>
      <c r="D13" s="5"/>
      <c r="E13" s="232">
        <v>43367</v>
      </c>
      <c r="F13" s="174" t="s">
        <v>21</v>
      </c>
      <c r="G13" s="177">
        <v>12.21</v>
      </c>
      <c r="H13" s="4">
        <f t="shared" si="0"/>
        <v>7147.1</v>
      </c>
      <c r="I13" s="503" t="s">
        <v>395</v>
      </c>
      <c r="K13" s="177"/>
      <c r="M13" s="51"/>
      <c r="N13" s="51"/>
      <c r="Q13" s="52"/>
      <c r="R13" s="108">
        <f>SUM(R11:R12)</f>
        <v>82</v>
      </c>
      <c r="S13" s="52" t="s">
        <v>91</v>
      </c>
      <c r="T13" s="52"/>
    </row>
    <row r="14" spans="2:14" ht="15.75">
      <c r="B14" s="235">
        <v>539</v>
      </c>
      <c r="C14" s="181" t="s">
        <v>397</v>
      </c>
      <c r="D14" s="44"/>
      <c r="E14" s="148"/>
      <c r="F14" s="174" t="s">
        <v>24</v>
      </c>
      <c r="G14" s="177"/>
      <c r="H14" s="4">
        <f t="shared" si="0"/>
        <v>7147.1</v>
      </c>
      <c r="K14" s="177"/>
      <c r="L14" s="195"/>
      <c r="M14" s="245" t="s">
        <v>92</v>
      </c>
      <c r="N14" s="246"/>
    </row>
    <row r="15" spans="2:14" ht="15.75">
      <c r="B15" s="176">
        <v>1388</v>
      </c>
      <c r="C15" s="183"/>
      <c r="D15" s="50"/>
      <c r="E15" s="236">
        <v>43348</v>
      </c>
      <c r="F15" s="174" t="s">
        <v>28</v>
      </c>
      <c r="G15" s="175">
        <v>79</v>
      </c>
      <c r="H15" s="4">
        <f t="shared" si="0"/>
        <v>7068.1</v>
      </c>
      <c r="I15" t="s">
        <v>6</v>
      </c>
      <c r="K15" s="175"/>
      <c r="L15" s="195"/>
      <c r="M15" s="247"/>
      <c r="N15" s="247"/>
    </row>
    <row r="16" spans="2:15" ht="15.75">
      <c r="B16" s="98"/>
      <c r="E16" s="33"/>
      <c r="F16" s="174" t="s">
        <v>74</v>
      </c>
      <c r="G16" s="196"/>
      <c r="H16" s="4">
        <f t="shared" si="0"/>
        <v>7068.1</v>
      </c>
      <c r="K16" s="196"/>
      <c r="L16" s="195"/>
      <c r="M16" s="248"/>
      <c r="N16" s="249"/>
      <c r="O16" s="195"/>
    </row>
    <row r="17" spans="2:11" ht="15.75">
      <c r="B17" s="72">
        <f>SUM(B5:B16)</f>
        <v>9070</v>
      </c>
      <c r="E17" s="232">
        <v>43357</v>
      </c>
      <c r="F17" s="174" t="s">
        <v>30</v>
      </c>
      <c r="G17" s="49">
        <v>1397.4</v>
      </c>
      <c r="H17" s="4">
        <f t="shared" si="0"/>
        <v>5670.700000000001</v>
      </c>
      <c r="I17" t="s">
        <v>382</v>
      </c>
      <c r="J17" s="43" t="s">
        <v>369</v>
      </c>
      <c r="K17" s="49"/>
    </row>
    <row r="18" spans="2:19" ht="15.75">
      <c r="B18" s="23"/>
      <c r="E18" s="232">
        <v>43367</v>
      </c>
      <c r="F18" s="186" t="s">
        <v>32</v>
      </c>
      <c r="G18" s="49">
        <v>1500</v>
      </c>
      <c r="H18" s="4">
        <f t="shared" si="0"/>
        <v>4170.700000000001</v>
      </c>
      <c r="I18" s="504" t="s">
        <v>395</v>
      </c>
      <c r="J18" s="162"/>
      <c r="K18" s="49"/>
      <c r="L18" s="132"/>
      <c r="M18" s="132"/>
      <c r="Q18" s="26" t="s">
        <v>93</v>
      </c>
      <c r="R18" s="26"/>
      <c r="S18" s="26"/>
    </row>
    <row r="19" spans="2:19" ht="15.75">
      <c r="B19" s="23"/>
      <c r="E19" s="232">
        <v>43348</v>
      </c>
      <c r="F19" s="174" t="s">
        <v>33</v>
      </c>
      <c r="G19" s="49">
        <v>600</v>
      </c>
      <c r="H19" s="4">
        <f t="shared" si="0"/>
        <v>3570.7000000000007</v>
      </c>
      <c r="I19" s="237" t="s">
        <v>385</v>
      </c>
      <c r="J19" s="132"/>
      <c r="K19" s="49"/>
      <c r="M19" t="s">
        <v>275</v>
      </c>
      <c r="Q19" s="27">
        <v>4.79</v>
      </c>
      <c r="R19" s="27" t="s">
        <v>383</v>
      </c>
      <c r="S19" s="26"/>
    </row>
    <row r="20" spans="5:19" ht="15.75">
      <c r="E20" s="232"/>
      <c r="F20" s="174" t="s">
        <v>34</v>
      </c>
      <c r="G20" s="238"/>
      <c r="H20" s="4">
        <f t="shared" si="0"/>
        <v>3570.7000000000007</v>
      </c>
      <c r="I20" s="33"/>
      <c r="K20" s="238"/>
      <c r="Q20" s="27">
        <v>11.28</v>
      </c>
      <c r="R20" s="27" t="s">
        <v>275</v>
      </c>
      <c r="S20" s="26"/>
    </row>
    <row r="21" spans="3:19" ht="15.75">
      <c r="C21" s="43"/>
      <c r="E21" s="232">
        <v>43348</v>
      </c>
      <c r="F21" s="189" t="s">
        <v>35</v>
      </c>
      <c r="G21" s="196">
        <v>189</v>
      </c>
      <c r="H21" s="4">
        <f t="shared" si="0"/>
        <v>3381.7000000000007</v>
      </c>
      <c r="I21" t="s">
        <v>6</v>
      </c>
      <c r="K21" s="196"/>
      <c r="Q21" s="27">
        <v>8.51</v>
      </c>
      <c r="R21" s="27" t="s">
        <v>275</v>
      </c>
      <c r="S21" s="26"/>
    </row>
    <row r="22" spans="3:19" ht="15.75">
      <c r="C22" s="43"/>
      <c r="E22" s="33"/>
      <c r="F22" s="191" t="s">
        <v>37</v>
      </c>
      <c r="G22" s="239">
        <v>700</v>
      </c>
      <c r="H22" s="4">
        <f t="shared" si="0"/>
        <v>2681.7000000000007</v>
      </c>
      <c r="K22" s="239">
        <v>700</v>
      </c>
      <c r="Q22" s="27">
        <v>15.76</v>
      </c>
      <c r="R22" s="27" t="s">
        <v>327</v>
      </c>
      <c r="S22" s="26"/>
    </row>
    <row r="23" spans="3:19" ht="15.75">
      <c r="C23" s="43"/>
      <c r="E23" s="232"/>
      <c r="F23" s="189" t="s">
        <v>38</v>
      </c>
      <c r="G23" s="4">
        <f>Q34</f>
        <v>132.67</v>
      </c>
      <c r="H23" s="4">
        <f t="shared" si="0"/>
        <v>2549.0300000000007</v>
      </c>
      <c r="I23" s="33"/>
      <c r="K23" s="4">
        <f>U34</f>
        <v>0</v>
      </c>
      <c r="Q23" s="27">
        <v>14.04</v>
      </c>
      <c r="R23" s="27" t="s">
        <v>389</v>
      </c>
      <c r="S23" s="26"/>
    </row>
    <row r="24" spans="2:19" ht="15">
      <c r="B24" s="126"/>
      <c r="C24" s="217"/>
      <c r="D24" s="217"/>
      <c r="E24" s="240">
        <v>43340</v>
      </c>
      <c r="F24" s="50" t="s">
        <v>384</v>
      </c>
      <c r="G24" s="123">
        <v>139</v>
      </c>
      <c r="H24" s="4">
        <f t="shared" si="0"/>
        <v>2410.0300000000007</v>
      </c>
      <c r="I24" s="241" t="s">
        <v>6</v>
      </c>
      <c r="J24" s="212"/>
      <c r="K24" s="123"/>
      <c r="M24" s="250"/>
      <c r="Q24" s="27">
        <v>15.8</v>
      </c>
      <c r="R24" s="27" t="s">
        <v>59</v>
      </c>
      <c r="S24" s="26"/>
    </row>
    <row r="25" spans="5:19" ht="15.75">
      <c r="E25" s="232"/>
      <c r="F25" s="189"/>
      <c r="G25" s="123"/>
      <c r="H25" s="4"/>
      <c r="I25" s="33"/>
      <c r="K25" s="43">
        <f>SUM(K7:K24)</f>
        <v>839</v>
      </c>
      <c r="Q25" s="27">
        <v>52.43</v>
      </c>
      <c r="R25" s="27" t="s">
        <v>398</v>
      </c>
      <c r="S25" s="26"/>
    </row>
    <row r="26" spans="5:19" ht="15">
      <c r="E26" s="33"/>
      <c r="F26" s="33"/>
      <c r="G26" s="123"/>
      <c r="H26" s="4"/>
      <c r="M26" s="23"/>
      <c r="Q26" s="27">
        <v>10.06</v>
      </c>
      <c r="R26" s="27" t="s">
        <v>327</v>
      </c>
      <c r="S26" s="26"/>
    </row>
    <row r="27" spans="6:19" ht="15">
      <c r="F27" s="33"/>
      <c r="G27" s="123"/>
      <c r="H27" s="4"/>
      <c r="J27" s="23"/>
      <c r="K27" s="23">
        <v>3918</v>
      </c>
      <c r="M27" s="23"/>
      <c r="Q27" s="27"/>
      <c r="R27" s="28"/>
      <c r="S27" s="26"/>
    </row>
    <row r="28" spans="5:19" ht="12.75">
      <c r="E28" s="22"/>
      <c r="F28" s="33"/>
      <c r="G28" s="23"/>
      <c r="M28" s="23"/>
      <c r="Q28" s="27"/>
      <c r="R28" s="28"/>
      <c r="S28" s="26"/>
    </row>
    <row r="29" spans="6:19" ht="12.75">
      <c r="F29" s="33"/>
      <c r="G29" s="23"/>
      <c r="J29" s="13"/>
      <c r="K29" s="23">
        <f>K27-500-K25</f>
        <v>2579</v>
      </c>
      <c r="M29" s="23"/>
      <c r="N29" s="540">
        <v>43361</v>
      </c>
      <c r="O29" s="489" t="s">
        <v>160</v>
      </c>
      <c r="Q29" s="27"/>
      <c r="R29" s="28"/>
      <c r="S29" s="26"/>
    </row>
    <row r="30" spans="6:19" ht="12.75">
      <c r="F30" s="33"/>
      <c r="G30" s="23"/>
      <c r="K30" s="23"/>
      <c r="M30" s="13"/>
      <c r="N30" s="541">
        <v>620</v>
      </c>
      <c r="O30" s="542" t="s">
        <v>391</v>
      </c>
      <c r="Q30" s="27"/>
      <c r="R30" s="28"/>
      <c r="S30" s="26"/>
    </row>
    <row r="31" spans="6:19" ht="12.75">
      <c r="F31" s="33"/>
      <c r="G31" s="23"/>
      <c r="K31" s="23">
        <f>K29-H24</f>
        <v>168.96999999999935</v>
      </c>
      <c r="L31" s="13"/>
      <c r="M31" s="13"/>
      <c r="N31" s="541">
        <v>1500</v>
      </c>
      <c r="O31" s="543"/>
      <c r="Q31" s="27"/>
      <c r="R31" s="26"/>
      <c r="S31" s="26"/>
    </row>
    <row r="32" spans="6:19" ht="12.75">
      <c r="F32" s="33"/>
      <c r="G32" s="23"/>
      <c r="K32" s="23"/>
      <c r="N32" s="544">
        <f>SUM(N30:N31)</f>
        <v>2120</v>
      </c>
      <c r="O32" s="543"/>
      <c r="Q32" s="27"/>
      <c r="R32" s="26"/>
      <c r="S32" s="26"/>
    </row>
    <row r="33" spans="6:19" ht="12.75">
      <c r="F33" s="33"/>
      <c r="G33" s="23"/>
      <c r="M33" s="13"/>
      <c r="Q33" s="26"/>
      <c r="R33" s="26"/>
      <c r="S33" s="26"/>
    </row>
    <row r="34" spans="7:17" ht="12.75">
      <c r="G34" s="23"/>
      <c r="N34" s="23">
        <f>155*4</f>
        <v>620</v>
      </c>
      <c r="Q34">
        <f>SUM(Q19:Q33)</f>
        <v>132.67</v>
      </c>
    </row>
    <row r="35" ht="12.75">
      <c r="G35" s="13"/>
    </row>
    <row r="37" ht="12.75">
      <c r="N37" s="251"/>
    </row>
    <row r="38" ht="12.75">
      <c r="N38" s="251"/>
    </row>
    <row r="39" ht="12.75">
      <c r="N39" s="251"/>
    </row>
    <row r="40" ht="12.75">
      <c r="N40" s="251"/>
    </row>
    <row r="41" ht="12.75">
      <c r="N41" s="251"/>
    </row>
    <row r="42" ht="12.75">
      <c r="N42" s="25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2018-05-10T09:37:58Z</cp:lastPrinted>
  <dcterms:created xsi:type="dcterms:W3CDTF">2008-10-18T16:05:47Z</dcterms:created>
  <dcterms:modified xsi:type="dcterms:W3CDTF">2018-09-26T14:59:04Z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